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F:\CYMS\Annual Fee Policy\SY24 (2023-2024)\Scott's drafts\"/>
    </mc:Choice>
  </mc:AlternateContent>
  <xr:revisionPtr revIDLastSave="0" documentId="13_ncr:1_{153897C1-F17A-4493-85E7-4EE10749187F}" xr6:coauthVersionLast="47" xr6:coauthVersionMax="47" xr10:uidLastSave="{00000000-0000-0000-0000-000000000000}"/>
  <bookViews>
    <workbookView xWindow="28680" yWindow="120" windowWidth="29040" windowHeight="15600" tabRatio="778" xr2:uid="{00000000-000D-0000-FFFF-FFFF00000000}"/>
  </bookViews>
  <sheets>
    <sheet name="Instructions" sheetId="5" r:id="rId1"/>
    <sheet name="Calculation Worksheet" sheetId="1" r:id="rId2"/>
    <sheet name="2024 Non-Locality BAH Rates" sheetId="16" state="hidden" r:id="rId3"/>
    <sheet name="Self-employment" sheetId="13" state="hidden" r:id="rId4"/>
    <sheet name="Settings" sheetId="14" state="hidden" r:id="rId5"/>
    <sheet name="Lists" sheetId="4" state="hidden" r:id="rId6"/>
    <sheet name="Status" sheetId="9" state="hidden" r:id="rId7"/>
    <sheet name="Status, Branch" sheetId="11" state="hidden" r:id="rId8"/>
    <sheet name="Status, Branch, Grade" sheetId="6" state="hidden" r:id="rId9"/>
    <sheet name="Spouse validation" sheetId="8" state="hidden" r:id="rId10"/>
    <sheet name="Sponsor-Spouse" sheetId="12" state="hidden" r:id="rId11"/>
    <sheet name="MCC20July" sheetId="7" state="hidden" r:id="rId12"/>
  </sheets>
  <definedNames>
    <definedName name="BAH_Rank">BAH[Rank]</definedName>
    <definedName name="Care_Type">Lists!$AE$5</definedName>
    <definedName name="CareType">Table1[Care Type]</definedName>
    <definedName name="CATSA">Lists!$Q$9</definedName>
    <definedName name="CONSA">Lists!$Q$9</definedName>
    <definedName name="Date_Override">'Calculation Worksheet'!$AV$37</definedName>
    <definedName name="Fee_Override">'Calculation Worksheet'!$I$37</definedName>
    <definedName name="Job_Details">JobDetails[Job details]</definedName>
    <definedName name="MCClist">MCC[MCC]</definedName>
    <definedName name="Patron_Type">'Calculation Worksheet'!$GC$7</definedName>
    <definedName name="_xlnm.Print_Area" localSheetId="1">'Calculation Worksheet'!$I$1:$EG$107</definedName>
    <definedName name="Sponsor_Rank">'Calculation Worksheet'!$ER$17</definedName>
    <definedName name="SponsorList">'Status, Branch'!$K$3:INDEX(StatusBranch[S3], MAX(StatusBranch[S2]), 1)</definedName>
    <definedName name="SponsorList1">'Status, Branch, Grade'!$S$4:INDEX(StatusBranchGrade[S3], MAX(StatusBranchGrade[S2]), 1)</definedName>
    <definedName name="Spouse_Rank">'Calculation Worksheet'!$EW$17</definedName>
    <definedName name="SpouseList">'Status, Branch'!$N$3:INDEX(StatusBranch[T3], MAX(StatusBranch[T2]), 1)</definedName>
    <definedName name="SpouseList1">'Status, Branch, Grade'!$V$4:INDEX(StatusBranchGrade[T3], MAX(StatusBranchGrade[T2]), 1)</definedName>
    <definedName name="TFI">'Calculation Worksheet'!$DR$41</definedName>
    <definedName name="Vacation">Lists!$Q$2:$Q$5</definedName>
    <definedName name="Verification">'Calculation Worksheet'!$AV$38</definedName>
    <definedName name="Verification_NoIncome">Lists!$AB$5</definedName>
    <definedName name="Years_Of_Service">YearsOfService[Years of service]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W8" i="1" l="1"/>
  <c r="EW12" i="1" s="1"/>
  <c r="EW13" i="1" s="1"/>
  <c r="ER8" i="1"/>
  <c r="ER10" i="1" s="1"/>
  <c r="EW20" i="1"/>
  <c r="EW22" i="1" s="1"/>
  <c r="EW24" i="1" s="1"/>
  <c r="ER20" i="1"/>
  <c r="ER17" i="1" s="1"/>
  <c r="F2"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EW15" i="1" l="1"/>
  <c r="CG18" i="1" s="1"/>
  <c r="EW10" i="1"/>
  <c r="ER12" i="1"/>
  <c r="ER13" i="1" s="1"/>
  <c r="ER18" i="1"/>
  <c r="EW17" i="1"/>
  <c r="EW18" i="1" s="1"/>
  <c r="ER22" i="1"/>
  <c r="ER24" i="1" s="1"/>
  <c r="T2" i="4"/>
  <c r="T3" i="4"/>
  <c r="T4" i="4"/>
  <c r="T5" i="4"/>
  <c r="T6" i="4"/>
  <c r="T7" i="4"/>
  <c r="T8" i="4"/>
  <c r="T9" i="4"/>
  <c r="T10" i="4"/>
  <c r="T11" i="4"/>
  <c r="T12" i="4"/>
  <c r="T13" i="4"/>
  <c r="V2" i="4"/>
  <c r="V3" i="4"/>
  <c r="V4" i="4"/>
  <c r="V5" i="4"/>
  <c r="V6" i="4"/>
  <c r="V7" i="4"/>
  <c r="V8" i="4"/>
  <c r="V9" i="4"/>
  <c r="V10" i="4"/>
  <c r="V11" i="4"/>
  <c r="V12" i="4"/>
  <c r="V13" i="4"/>
  <c r="W2" i="4"/>
  <c r="W3" i="4"/>
  <c r="W4" i="4"/>
  <c r="W5" i="4"/>
  <c r="W6" i="4"/>
  <c r="W7" i="4"/>
  <c r="W8" i="4"/>
  <c r="W9" i="4"/>
  <c r="W10" i="4"/>
  <c r="W11" i="4"/>
  <c r="W12" i="4"/>
  <c r="W13" i="4"/>
  <c r="Y2" i="4"/>
  <c r="Y3" i="4"/>
  <c r="Y4" i="4"/>
  <c r="Y5" i="4"/>
  <c r="Y6" i="4"/>
  <c r="Y7" i="4"/>
  <c r="Y8" i="4"/>
  <c r="Y9" i="4"/>
  <c r="Y10" i="4"/>
  <c r="Y11" i="4"/>
  <c r="Y12" i="4"/>
  <c r="Y13" i="4"/>
  <c r="C61" i="4"/>
  <c r="C60" i="4"/>
  <c r="C59" i="4"/>
  <c r="C58" i="4"/>
  <c r="C57" i="4"/>
  <c r="C56" i="4"/>
  <c r="C55" i="4"/>
  <c r="C54" i="4"/>
  <c r="C53" i="4"/>
  <c r="C52" i="4"/>
  <c r="C51" i="4"/>
  <c r="C50" i="4"/>
  <c r="C49" i="4"/>
  <c r="C48" i="4"/>
  <c r="C47" i="4"/>
  <c r="C46" i="4"/>
  <c r="C45" i="4"/>
  <c r="C44" i="4"/>
  <c r="C43" i="4"/>
  <c r="C42" i="4"/>
  <c r="C41" i="4"/>
  <c r="C40" i="4"/>
  <c r="C39" i="4"/>
  <c r="C38" i="4"/>
  <c r="C37" i="4"/>
  <c r="C36" i="4"/>
  <c r="C35" i="4"/>
  <c r="D61" i="4"/>
  <c r="D60" i="4"/>
  <c r="D59" i="4"/>
  <c r="D58" i="4"/>
  <c r="D57" i="4"/>
  <c r="D56" i="4"/>
  <c r="D55" i="4"/>
  <c r="D54" i="4"/>
  <c r="D53" i="4"/>
  <c r="D52" i="4"/>
  <c r="D51" i="4"/>
  <c r="D50" i="4"/>
  <c r="D49" i="4"/>
  <c r="D48" i="4"/>
  <c r="D47" i="4"/>
  <c r="D46" i="4"/>
  <c r="D45" i="4"/>
  <c r="D44" i="4"/>
  <c r="D43" i="4"/>
  <c r="D42" i="4"/>
  <c r="D41" i="4"/>
  <c r="D40" i="4"/>
  <c r="D39" i="4"/>
  <c r="D38" i="4"/>
  <c r="D37" i="4"/>
  <c r="D36" i="4"/>
  <c r="D35" i="4"/>
  <c r="A20" i="5"/>
  <c r="A23" i="5"/>
  <c r="A24" i="5"/>
  <c r="A4" i="5"/>
  <c r="A22" i="5"/>
  <c r="A21" i="5"/>
  <c r="A19" i="5"/>
  <c r="ER15" i="1" l="1"/>
  <c r="AV18" i="1" s="1"/>
  <c r="ER26" i="1"/>
  <c r="EW26" i="1" s="1"/>
  <c r="CG17" i="1" s="1"/>
  <c r="DR15" i="1"/>
  <c r="CG36" i="1"/>
  <c r="AV36" i="1"/>
  <c r="DR19" i="1"/>
  <c r="DR20" i="1"/>
  <c r="DR21" i="1"/>
  <c r="DR22" i="1"/>
  <c r="DR23" i="1"/>
  <c r="EH37" i="1"/>
  <c r="AV17" i="1" l="1"/>
  <c r="E569" i="6"/>
  <c r="G569" i="6"/>
  <c r="H569" i="6"/>
  <c r="K569" i="6" s="1"/>
  <c r="I569" i="6"/>
  <c r="L569" i="6"/>
  <c r="Q569" i="6" s="1"/>
  <c r="R569" i="6" s="1"/>
  <c r="N569" i="6"/>
  <c r="T569" i="6" s="1"/>
  <c r="U569" i="6" s="1"/>
  <c r="E568" i="6"/>
  <c r="G568" i="6"/>
  <c r="H568" i="6"/>
  <c r="K568" i="6" s="1"/>
  <c r="I568" i="6"/>
  <c r="L568" i="6" s="1"/>
  <c r="Q568" i="6" s="1"/>
  <c r="R568" i="6" s="1"/>
  <c r="E567" i="6"/>
  <c r="G567" i="6"/>
  <c r="H567" i="6"/>
  <c r="M567" i="6" s="1"/>
  <c r="I567" i="6"/>
  <c r="K567" i="6"/>
  <c r="L567" i="6"/>
  <c r="Q567" i="6" s="1"/>
  <c r="R567" i="6" s="1"/>
  <c r="N567" i="6"/>
  <c r="T567" i="6" s="1"/>
  <c r="U567" i="6" s="1"/>
  <c r="E566" i="6"/>
  <c r="G566" i="6"/>
  <c r="H566" i="6"/>
  <c r="K566" i="6" s="1"/>
  <c r="I566" i="6"/>
  <c r="L566" i="6" s="1"/>
  <c r="Q566" i="6" s="1"/>
  <c r="R566" i="6" s="1"/>
  <c r="E565" i="6"/>
  <c r="G565" i="6"/>
  <c r="H565" i="6"/>
  <c r="K565" i="6" s="1"/>
  <c r="I565" i="6"/>
  <c r="L565" i="6"/>
  <c r="Q565" i="6" s="1"/>
  <c r="N565" i="6"/>
  <c r="T565" i="6" s="1"/>
  <c r="U565" i="6" s="1"/>
  <c r="E564" i="6"/>
  <c r="G564" i="6"/>
  <c r="H564" i="6"/>
  <c r="K564" i="6" s="1"/>
  <c r="I564" i="6"/>
  <c r="L564" i="6" s="1"/>
  <c r="Q564" i="6" s="1"/>
  <c r="R564" i="6" s="1"/>
  <c r="N564" i="6" l="1"/>
  <c r="T564" i="6" s="1"/>
  <c r="U564" i="6" s="1"/>
  <c r="N566" i="6"/>
  <c r="T566" i="6" s="1"/>
  <c r="U566" i="6" s="1"/>
  <c r="N568" i="6"/>
  <c r="T568" i="6" s="1"/>
  <c r="U568" i="6" s="1"/>
  <c r="M564" i="6"/>
  <c r="M566" i="6"/>
  <c r="M568" i="6"/>
  <c r="M565" i="6"/>
  <c r="M569" i="6"/>
  <c r="EH50" i="1" l="1"/>
  <c r="EH46" i="1"/>
  <c r="EH49" i="1"/>
  <c r="EH48" i="1"/>
  <c r="EH47" i="1"/>
  <c r="M11" i="13" l="1"/>
  <c r="M10" i="13"/>
  <c r="M9" i="13"/>
  <c r="J11" i="13"/>
  <c r="J10" i="13"/>
  <c r="J9" i="13"/>
  <c r="C9" i="13"/>
  <c r="F6" i="13" l="1"/>
  <c r="F5" i="13"/>
  <c r="E10" i="13"/>
  <c r="F10" i="13" s="1"/>
  <c r="B15" i="13"/>
  <c r="D9" i="13"/>
  <c r="C8" i="13"/>
  <c r="D8" i="13" s="1"/>
  <c r="C5" i="13"/>
  <c r="D5" i="13" s="1"/>
  <c r="C6" i="13"/>
  <c r="C7" i="13"/>
  <c r="C10" i="13"/>
  <c r="D10" i="13" s="1"/>
  <c r="E8" i="13" l="1"/>
  <c r="F8" i="13" s="1"/>
  <c r="E9" i="13"/>
  <c r="F9" i="13" s="1"/>
  <c r="E7" i="13"/>
  <c r="F7" i="13" s="1"/>
  <c r="K11" i="13"/>
  <c r="D7" i="13"/>
  <c r="D6" i="13"/>
  <c r="B14" i="13"/>
  <c r="L11" i="13" l="1"/>
  <c r="K10" i="13"/>
  <c r="L10" i="13" s="1"/>
  <c r="K9" i="13"/>
  <c r="L9" i="13" s="1"/>
  <c r="GD10" i="1"/>
  <c r="GD8" i="1"/>
  <c r="E4" i="6" l="1"/>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CG24" i="1" l="1"/>
  <c r="GC7" i="1" l="1"/>
  <c r="GD7" i="1"/>
  <c r="DR18" i="1" l="1"/>
  <c r="AV24" i="1"/>
  <c r="GC27" i="1"/>
  <c r="GD27" i="1"/>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DR17" i="1" l="1"/>
  <c r="BI46" i="1"/>
  <c r="EP8" i="1" l="1"/>
  <c r="DN50" i="1" l="1"/>
  <c r="DN49" i="1"/>
  <c r="DN48" i="1"/>
  <c r="DN47" i="1"/>
  <c r="DN46" i="1"/>
  <c r="GC38" i="1" l="1"/>
  <c r="I39" i="1" l="1"/>
  <c r="CW39" i="1" s="1"/>
  <c r="GC22" i="1"/>
  <c r="GC23" i="1" s="1"/>
  <c r="GD11" i="1"/>
  <c r="GC11" i="1"/>
  <c r="GC10" i="1"/>
  <c r="GC8" i="1"/>
  <c r="CO90" i="1"/>
  <c r="GC28" i="1" l="1"/>
  <c r="GC29" i="1" s="1"/>
  <c r="N556" i="6"/>
  <c r="T556" i="6" s="1"/>
  <c r="U556" i="6" s="1"/>
  <c r="N560" i="6"/>
  <c r="T560" i="6" s="1"/>
  <c r="U560" i="6" s="1"/>
  <c r="N562" i="6"/>
  <c r="T562" i="6" s="1"/>
  <c r="U562" i="6" s="1"/>
  <c r="L4" i="6"/>
  <c r="Q4" i="6" s="1"/>
  <c r="L5" i="6"/>
  <c r="Q5" i="6" s="1"/>
  <c r="R5" i="6" s="1"/>
  <c r="L559" i="6"/>
  <c r="Q559" i="6" s="1"/>
  <c r="R559" i="6" s="1"/>
  <c r="L561" i="6"/>
  <c r="Q561" i="6" s="1"/>
  <c r="R561" i="6" s="1"/>
  <c r="L563" i="6"/>
  <c r="Q563" i="6" s="1"/>
  <c r="R563" i="6" s="1"/>
  <c r="I4" i="6"/>
  <c r="N4" i="6" s="1"/>
  <c r="T4" i="6" s="1"/>
  <c r="U4" i="6" s="1"/>
  <c r="I5" i="6"/>
  <c r="N5" i="6" s="1"/>
  <c r="T5" i="6" s="1"/>
  <c r="U5" i="6" s="1"/>
  <c r="I6" i="6"/>
  <c r="I7" i="6"/>
  <c r="I8" i="6"/>
  <c r="L8" i="6" s="1"/>
  <c r="Q8" i="6" s="1"/>
  <c r="I9" i="6"/>
  <c r="I10" i="6"/>
  <c r="I11" i="6"/>
  <c r="I12" i="6"/>
  <c r="L12" i="6" s="1"/>
  <c r="Q12" i="6" s="1"/>
  <c r="I13" i="6"/>
  <c r="L13" i="6" s="1"/>
  <c r="Q13" i="6" s="1"/>
  <c r="I14" i="6"/>
  <c r="I15" i="6"/>
  <c r="I16" i="6"/>
  <c r="L16" i="6" s="1"/>
  <c r="Q16" i="6" s="1"/>
  <c r="I17" i="6"/>
  <c r="I18" i="6"/>
  <c r="I19" i="6"/>
  <c r="I20" i="6"/>
  <c r="L20" i="6" s="1"/>
  <c r="Q20" i="6" s="1"/>
  <c r="R20" i="6" s="1"/>
  <c r="I21" i="6"/>
  <c r="L21" i="6" s="1"/>
  <c r="Q21" i="6" s="1"/>
  <c r="R21" i="6" s="1"/>
  <c r="I22" i="6"/>
  <c r="I23" i="6"/>
  <c r="I24" i="6"/>
  <c r="L24" i="6" s="1"/>
  <c r="Q24" i="6" s="1"/>
  <c r="R24" i="6" s="1"/>
  <c r="I25" i="6"/>
  <c r="I26" i="6"/>
  <c r="I27" i="6"/>
  <c r="N27" i="6" s="1"/>
  <c r="T27" i="6" s="1"/>
  <c r="U27" i="6" s="1"/>
  <c r="I28" i="6"/>
  <c r="L28" i="6" s="1"/>
  <c r="Q28" i="6" s="1"/>
  <c r="R28" i="6" s="1"/>
  <c r="I29" i="6"/>
  <c r="L29" i="6" s="1"/>
  <c r="Q29" i="6" s="1"/>
  <c r="R29" i="6" s="1"/>
  <c r="I30" i="6"/>
  <c r="I31" i="6"/>
  <c r="I32" i="6"/>
  <c r="L32" i="6" s="1"/>
  <c r="Q32" i="6" s="1"/>
  <c r="R32" i="6" s="1"/>
  <c r="I33" i="6"/>
  <c r="I34" i="6"/>
  <c r="I35" i="6"/>
  <c r="I36" i="6"/>
  <c r="L36" i="6" s="1"/>
  <c r="Q36" i="6" s="1"/>
  <c r="R36" i="6" s="1"/>
  <c r="I37" i="6"/>
  <c r="L37" i="6" s="1"/>
  <c r="Q37" i="6" s="1"/>
  <c r="R37" i="6" s="1"/>
  <c r="I38" i="6"/>
  <c r="I39" i="6"/>
  <c r="I40" i="6"/>
  <c r="L40" i="6" s="1"/>
  <c r="Q40" i="6" s="1"/>
  <c r="R40" i="6" s="1"/>
  <c r="I41" i="6"/>
  <c r="I42" i="6"/>
  <c r="I43" i="6"/>
  <c r="I44" i="6"/>
  <c r="L44" i="6" s="1"/>
  <c r="Q44" i="6" s="1"/>
  <c r="R44" i="6" s="1"/>
  <c r="I45" i="6"/>
  <c r="L45" i="6" s="1"/>
  <c r="Q45" i="6" s="1"/>
  <c r="R45" i="6" s="1"/>
  <c r="I46" i="6"/>
  <c r="I47" i="6"/>
  <c r="I48" i="6"/>
  <c r="L48" i="6" s="1"/>
  <c r="Q48" i="6" s="1"/>
  <c r="R48" i="6" s="1"/>
  <c r="I49" i="6"/>
  <c r="I50" i="6"/>
  <c r="I51" i="6"/>
  <c r="I52" i="6"/>
  <c r="L52" i="6" s="1"/>
  <c r="Q52" i="6" s="1"/>
  <c r="R52" i="6" s="1"/>
  <c r="I53" i="6"/>
  <c r="L53" i="6" s="1"/>
  <c r="Q53" i="6" s="1"/>
  <c r="R53" i="6" s="1"/>
  <c r="I54" i="6"/>
  <c r="I55" i="6"/>
  <c r="I56" i="6"/>
  <c r="L56" i="6" s="1"/>
  <c r="Q56" i="6" s="1"/>
  <c r="R56" i="6" s="1"/>
  <c r="I57" i="6"/>
  <c r="I58" i="6"/>
  <c r="I59" i="6"/>
  <c r="I60" i="6"/>
  <c r="L60" i="6" s="1"/>
  <c r="Q60" i="6" s="1"/>
  <c r="R60" i="6" s="1"/>
  <c r="I61" i="6"/>
  <c r="L61" i="6" s="1"/>
  <c r="Q61" i="6" s="1"/>
  <c r="R61" i="6" s="1"/>
  <c r="I62" i="6"/>
  <c r="I63" i="6"/>
  <c r="I64" i="6"/>
  <c r="I65" i="6"/>
  <c r="I66" i="6"/>
  <c r="I67" i="6"/>
  <c r="I68" i="6"/>
  <c r="I69" i="6"/>
  <c r="L69" i="6" s="1"/>
  <c r="Q69" i="6" s="1"/>
  <c r="R69" i="6" s="1"/>
  <c r="I70" i="6"/>
  <c r="I71" i="6"/>
  <c r="I72" i="6"/>
  <c r="I73" i="6"/>
  <c r="I74" i="6"/>
  <c r="I75" i="6"/>
  <c r="I76" i="6"/>
  <c r="I77" i="6"/>
  <c r="L77" i="6" s="1"/>
  <c r="Q77" i="6" s="1"/>
  <c r="I78" i="6"/>
  <c r="I79" i="6"/>
  <c r="I80" i="6"/>
  <c r="I81" i="6"/>
  <c r="I82" i="6"/>
  <c r="I83" i="6"/>
  <c r="I84" i="6"/>
  <c r="I85" i="6"/>
  <c r="L85" i="6" s="1"/>
  <c r="Q85" i="6" s="1"/>
  <c r="I86" i="6"/>
  <c r="I87" i="6"/>
  <c r="I88" i="6"/>
  <c r="I89" i="6"/>
  <c r="I90" i="6"/>
  <c r="I91" i="6"/>
  <c r="N91" i="6" s="1"/>
  <c r="T91" i="6" s="1"/>
  <c r="I92" i="6"/>
  <c r="I93" i="6"/>
  <c r="L93" i="6" s="1"/>
  <c r="Q93" i="6" s="1"/>
  <c r="I94" i="6"/>
  <c r="I95" i="6"/>
  <c r="I96" i="6"/>
  <c r="I97" i="6"/>
  <c r="I98" i="6"/>
  <c r="I99" i="6"/>
  <c r="I100" i="6"/>
  <c r="I101" i="6"/>
  <c r="L101" i="6" s="1"/>
  <c r="Q101" i="6" s="1"/>
  <c r="I102" i="6"/>
  <c r="I103" i="6"/>
  <c r="I104" i="6"/>
  <c r="I105" i="6"/>
  <c r="I106" i="6"/>
  <c r="I107" i="6"/>
  <c r="I108" i="6"/>
  <c r="I109" i="6"/>
  <c r="L109" i="6" s="1"/>
  <c r="Q109" i="6" s="1"/>
  <c r="R109" i="6" s="1"/>
  <c r="I110" i="6"/>
  <c r="I111" i="6"/>
  <c r="I112" i="6"/>
  <c r="I113" i="6"/>
  <c r="I114" i="6"/>
  <c r="I115" i="6"/>
  <c r="I116" i="6"/>
  <c r="I117" i="6"/>
  <c r="L117" i="6" s="1"/>
  <c r="Q117" i="6" s="1"/>
  <c r="R117" i="6" s="1"/>
  <c r="I118" i="6"/>
  <c r="I119" i="6"/>
  <c r="I120" i="6"/>
  <c r="I121" i="6"/>
  <c r="I122" i="6"/>
  <c r="I123" i="6"/>
  <c r="I124" i="6"/>
  <c r="I125" i="6"/>
  <c r="L125" i="6" s="1"/>
  <c r="Q125" i="6" s="1"/>
  <c r="R125" i="6" s="1"/>
  <c r="I126" i="6"/>
  <c r="I127" i="6"/>
  <c r="I128" i="6"/>
  <c r="I129" i="6"/>
  <c r="I130" i="6"/>
  <c r="I131" i="6"/>
  <c r="I132" i="6"/>
  <c r="I133" i="6"/>
  <c r="L133" i="6" s="1"/>
  <c r="Q133" i="6" s="1"/>
  <c r="R133" i="6" s="1"/>
  <c r="I134" i="6"/>
  <c r="I135" i="6"/>
  <c r="I136" i="6"/>
  <c r="I137" i="6"/>
  <c r="I138" i="6"/>
  <c r="I139" i="6"/>
  <c r="I140" i="6"/>
  <c r="I141" i="6"/>
  <c r="L141" i="6" s="1"/>
  <c r="Q141" i="6" s="1"/>
  <c r="R141" i="6" s="1"/>
  <c r="I142" i="6"/>
  <c r="I143" i="6"/>
  <c r="I144" i="6"/>
  <c r="I145" i="6"/>
  <c r="I146" i="6"/>
  <c r="I147" i="6"/>
  <c r="I148" i="6"/>
  <c r="I149" i="6"/>
  <c r="L149" i="6" s="1"/>
  <c r="Q149" i="6" s="1"/>
  <c r="R149" i="6" s="1"/>
  <c r="I150" i="6"/>
  <c r="I151" i="6"/>
  <c r="I152" i="6"/>
  <c r="I153" i="6"/>
  <c r="I154" i="6"/>
  <c r="I155" i="6"/>
  <c r="N155" i="6" s="1"/>
  <c r="T155" i="6" s="1"/>
  <c r="U155" i="6" s="1"/>
  <c r="I156" i="6"/>
  <c r="I157" i="6"/>
  <c r="L157" i="6" s="1"/>
  <c r="Q157" i="6" s="1"/>
  <c r="R157" i="6" s="1"/>
  <c r="I158" i="6"/>
  <c r="I159" i="6"/>
  <c r="I160" i="6"/>
  <c r="I161" i="6"/>
  <c r="I162" i="6"/>
  <c r="I163" i="6"/>
  <c r="I164" i="6"/>
  <c r="I165" i="6"/>
  <c r="L165" i="6" s="1"/>
  <c r="Q165" i="6" s="1"/>
  <c r="R165" i="6" s="1"/>
  <c r="I166" i="6"/>
  <c r="I167" i="6"/>
  <c r="I168" i="6"/>
  <c r="I169" i="6"/>
  <c r="I170" i="6"/>
  <c r="I171" i="6"/>
  <c r="I172" i="6"/>
  <c r="I173" i="6"/>
  <c r="L173" i="6" s="1"/>
  <c r="Q173" i="6" s="1"/>
  <c r="R173" i="6" s="1"/>
  <c r="I174" i="6"/>
  <c r="I175" i="6"/>
  <c r="I176" i="6"/>
  <c r="I177" i="6"/>
  <c r="I178" i="6"/>
  <c r="I179" i="6"/>
  <c r="I180" i="6"/>
  <c r="I181" i="6"/>
  <c r="L181" i="6" s="1"/>
  <c r="Q181" i="6" s="1"/>
  <c r="I182" i="6"/>
  <c r="I183" i="6"/>
  <c r="I184" i="6"/>
  <c r="I185" i="6"/>
  <c r="I186" i="6"/>
  <c r="I187" i="6"/>
  <c r="I188" i="6"/>
  <c r="I189" i="6"/>
  <c r="L189" i="6" s="1"/>
  <c r="Q189" i="6" s="1"/>
  <c r="I190" i="6"/>
  <c r="I191" i="6"/>
  <c r="I192" i="6"/>
  <c r="I193" i="6"/>
  <c r="I194" i="6"/>
  <c r="L194" i="6" s="1"/>
  <c r="Q194" i="6" s="1"/>
  <c r="I195" i="6"/>
  <c r="I196" i="6"/>
  <c r="I197" i="6"/>
  <c r="I198" i="6"/>
  <c r="I199" i="6"/>
  <c r="I200" i="6"/>
  <c r="L200" i="6" s="1"/>
  <c r="Q200" i="6" s="1"/>
  <c r="I201" i="6"/>
  <c r="I202" i="6"/>
  <c r="I203" i="6"/>
  <c r="I204" i="6"/>
  <c r="I205" i="6"/>
  <c r="L205" i="6" s="1"/>
  <c r="Q205" i="6" s="1"/>
  <c r="I206" i="6"/>
  <c r="I207" i="6"/>
  <c r="I208" i="6"/>
  <c r="I209" i="6"/>
  <c r="I210" i="6"/>
  <c r="L210" i="6" s="1"/>
  <c r="Q210" i="6" s="1"/>
  <c r="I211" i="6"/>
  <c r="I212" i="6"/>
  <c r="I213" i="6"/>
  <c r="I214" i="6"/>
  <c r="I215" i="6"/>
  <c r="I216" i="6"/>
  <c r="L216" i="6" s="1"/>
  <c r="Q216" i="6" s="1"/>
  <c r="I217" i="6"/>
  <c r="I218" i="6"/>
  <c r="I219" i="6"/>
  <c r="I220" i="6"/>
  <c r="I221" i="6"/>
  <c r="L221" i="6" s="1"/>
  <c r="Q221" i="6" s="1"/>
  <c r="I222" i="6"/>
  <c r="I223" i="6"/>
  <c r="I224" i="6"/>
  <c r="I225" i="6"/>
  <c r="I226" i="6"/>
  <c r="L226" i="6" s="1"/>
  <c r="Q226" i="6" s="1"/>
  <c r="I227" i="6"/>
  <c r="I228" i="6"/>
  <c r="I229" i="6"/>
  <c r="I230" i="6"/>
  <c r="I231" i="6"/>
  <c r="L231" i="6" s="1"/>
  <c r="Q231" i="6" s="1"/>
  <c r="I232" i="6"/>
  <c r="I233" i="6"/>
  <c r="I234" i="6"/>
  <c r="I235" i="6"/>
  <c r="L235" i="6" s="1"/>
  <c r="Q235" i="6" s="1"/>
  <c r="I236" i="6"/>
  <c r="I237" i="6"/>
  <c r="I238" i="6"/>
  <c r="I239" i="6"/>
  <c r="L239" i="6" s="1"/>
  <c r="Q239" i="6" s="1"/>
  <c r="I240" i="6"/>
  <c r="I241" i="6"/>
  <c r="I242" i="6"/>
  <c r="I243" i="6"/>
  <c r="L243" i="6" s="1"/>
  <c r="Q243" i="6" s="1"/>
  <c r="I244" i="6"/>
  <c r="I245" i="6"/>
  <c r="I246" i="6"/>
  <c r="I247" i="6"/>
  <c r="L247" i="6" s="1"/>
  <c r="Q247" i="6" s="1"/>
  <c r="I248" i="6"/>
  <c r="I249" i="6"/>
  <c r="I250" i="6"/>
  <c r="I251" i="6"/>
  <c r="L251" i="6" s="1"/>
  <c r="Q251" i="6" s="1"/>
  <c r="I252" i="6"/>
  <c r="I253" i="6"/>
  <c r="I254" i="6"/>
  <c r="I255" i="6"/>
  <c r="L255" i="6" s="1"/>
  <c r="Q255" i="6" s="1"/>
  <c r="I256" i="6"/>
  <c r="I257" i="6"/>
  <c r="I258" i="6"/>
  <c r="I259" i="6"/>
  <c r="L259" i="6" s="1"/>
  <c r="Q259" i="6" s="1"/>
  <c r="I260" i="6"/>
  <c r="I261" i="6"/>
  <c r="I262" i="6"/>
  <c r="I263" i="6"/>
  <c r="L263" i="6" s="1"/>
  <c r="Q263" i="6" s="1"/>
  <c r="R263" i="6" s="1"/>
  <c r="I264" i="6"/>
  <c r="I265" i="6"/>
  <c r="I266" i="6"/>
  <c r="I267" i="6"/>
  <c r="L267" i="6" s="1"/>
  <c r="Q267" i="6" s="1"/>
  <c r="R267" i="6" s="1"/>
  <c r="I268" i="6"/>
  <c r="I269" i="6"/>
  <c r="I270" i="6"/>
  <c r="I271" i="6"/>
  <c r="L271" i="6" s="1"/>
  <c r="Q271" i="6" s="1"/>
  <c r="R271" i="6" s="1"/>
  <c r="I272" i="6"/>
  <c r="I273" i="6"/>
  <c r="I274" i="6"/>
  <c r="I275" i="6"/>
  <c r="L275" i="6" s="1"/>
  <c r="Q275" i="6" s="1"/>
  <c r="R275" i="6" s="1"/>
  <c r="I276" i="6"/>
  <c r="I277" i="6"/>
  <c r="I278" i="6"/>
  <c r="I279" i="6"/>
  <c r="L279" i="6" s="1"/>
  <c r="Q279" i="6" s="1"/>
  <c r="R279" i="6" s="1"/>
  <c r="I280" i="6"/>
  <c r="I281" i="6"/>
  <c r="I282" i="6"/>
  <c r="I283" i="6"/>
  <c r="L283" i="6" s="1"/>
  <c r="Q283" i="6" s="1"/>
  <c r="R283" i="6" s="1"/>
  <c r="I284" i="6"/>
  <c r="I285" i="6"/>
  <c r="I286" i="6"/>
  <c r="I287" i="6"/>
  <c r="L287" i="6" s="1"/>
  <c r="Q287" i="6" s="1"/>
  <c r="R287" i="6" s="1"/>
  <c r="I288" i="6"/>
  <c r="I289" i="6"/>
  <c r="I290" i="6"/>
  <c r="I291" i="6"/>
  <c r="N291" i="6" s="1"/>
  <c r="T291" i="6" s="1"/>
  <c r="U291" i="6" s="1"/>
  <c r="I292" i="6"/>
  <c r="I293" i="6"/>
  <c r="I294" i="6"/>
  <c r="I295" i="6"/>
  <c r="L295" i="6" s="1"/>
  <c r="Q295" i="6" s="1"/>
  <c r="R295" i="6" s="1"/>
  <c r="I296" i="6"/>
  <c r="I297" i="6"/>
  <c r="I298" i="6"/>
  <c r="I299" i="6"/>
  <c r="L299" i="6" s="1"/>
  <c r="Q299" i="6" s="1"/>
  <c r="R299" i="6" s="1"/>
  <c r="I300" i="6"/>
  <c r="I301" i="6"/>
  <c r="I302" i="6"/>
  <c r="L302" i="6" s="1"/>
  <c r="Q302" i="6" s="1"/>
  <c r="R302" i="6" s="1"/>
  <c r="I303" i="6"/>
  <c r="L303" i="6" s="1"/>
  <c r="Q303" i="6" s="1"/>
  <c r="R303" i="6" s="1"/>
  <c r="I304" i="6"/>
  <c r="I305" i="6"/>
  <c r="I306" i="6"/>
  <c r="L306" i="6" s="1"/>
  <c r="Q306" i="6" s="1"/>
  <c r="R306" i="6" s="1"/>
  <c r="I307" i="6"/>
  <c r="L307" i="6" s="1"/>
  <c r="Q307" i="6" s="1"/>
  <c r="R307" i="6" s="1"/>
  <c r="I308" i="6"/>
  <c r="I309" i="6"/>
  <c r="I310" i="6"/>
  <c r="L310" i="6" s="1"/>
  <c r="Q310" i="6" s="1"/>
  <c r="R310" i="6" s="1"/>
  <c r="I311" i="6"/>
  <c r="L311" i="6" s="1"/>
  <c r="Q311" i="6" s="1"/>
  <c r="R311" i="6" s="1"/>
  <c r="I312" i="6"/>
  <c r="I313" i="6"/>
  <c r="I314" i="6"/>
  <c r="L314" i="6" s="1"/>
  <c r="Q314" i="6" s="1"/>
  <c r="R314" i="6" s="1"/>
  <c r="I315" i="6"/>
  <c r="L315" i="6" s="1"/>
  <c r="Q315" i="6" s="1"/>
  <c r="R315" i="6" s="1"/>
  <c r="I316" i="6"/>
  <c r="I317" i="6"/>
  <c r="I318" i="6"/>
  <c r="L318" i="6" s="1"/>
  <c r="Q318" i="6" s="1"/>
  <c r="R318" i="6" s="1"/>
  <c r="I319" i="6"/>
  <c r="L319" i="6" s="1"/>
  <c r="Q319" i="6" s="1"/>
  <c r="R319" i="6" s="1"/>
  <c r="I320" i="6"/>
  <c r="I321" i="6"/>
  <c r="I322" i="6"/>
  <c r="L322" i="6" s="1"/>
  <c r="Q322" i="6" s="1"/>
  <c r="R322" i="6" s="1"/>
  <c r="I323" i="6"/>
  <c r="L323" i="6" s="1"/>
  <c r="Q323" i="6" s="1"/>
  <c r="R323" i="6" s="1"/>
  <c r="I324" i="6"/>
  <c r="I325" i="6"/>
  <c r="I326" i="6"/>
  <c r="L326" i="6" s="1"/>
  <c r="Q326" i="6" s="1"/>
  <c r="R326" i="6" s="1"/>
  <c r="I327" i="6"/>
  <c r="L327" i="6" s="1"/>
  <c r="Q327" i="6" s="1"/>
  <c r="R327" i="6" s="1"/>
  <c r="I328" i="6"/>
  <c r="I329" i="6"/>
  <c r="I330" i="6"/>
  <c r="L330" i="6" s="1"/>
  <c r="Q330" i="6" s="1"/>
  <c r="R330" i="6" s="1"/>
  <c r="I331" i="6"/>
  <c r="L331" i="6" s="1"/>
  <c r="Q331" i="6" s="1"/>
  <c r="R331" i="6" s="1"/>
  <c r="I332" i="6"/>
  <c r="I333" i="6"/>
  <c r="I334" i="6"/>
  <c r="L334" i="6" s="1"/>
  <c r="Q334" i="6" s="1"/>
  <c r="R334" i="6" s="1"/>
  <c r="I335" i="6"/>
  <c r="L335" i="6" s="1"/>
  <c r="Q335" i="6" s="1"/>
  <c r="R335" i="6" s="1"/>
  <c r="I336" i="6"/>
  <c r="I337" i="6"/>
  <c r="I338" i="6"/>
  <c r="L338" i="6" s="1"/>
  <c r="Q338" i="6" s="1"/>
  <c r="R338" i="6" s="1"/>
  <c r="I339" i="6"/>
  <c r="L339" i="6" s="1"/>
  <c r="Q339" i="6" s="1"/>
  <c r="R339" i="6" s="1"/>
  <c r="I340" i="6"/>
  <c r="I341" i="6"/>
  <c r="I342" i="6"/>
  <c r="L342" i="6" s="1"/>
  <c r="Q342" i="6" s="1"/>
  <c r="R342" i="6" s="1"/>
  <c r="I343" i="6"/>
  <c r="L343" i="6" s="1"/>
  <c r="Q343" i="6" s="1"/>
  <c r="R343" i="6" s="1"/>
  <c r="I344" i="6"/>
  <c r="I345" i="6"/>
  <c r="I346" i="6"/>
  <c r="L346" i="6" s="1"/>
  <c r="Q346" i="6" s="1"/>
  <c r="R346" i="6" s="1"/>
  <c r="I347" i="6"/>
  <c r="L347" i="6" s="1"/>
  <c r="Q347" i="6" s="1"/>
  <c r="R347" i="6" s="1"/>
  <c r="I348" i="6"/>
  <c r="I349" i="6"/>
  <c r="I350" i="6"/>
  <c r="L350" i="6" s="1"/>
  <c r="Q350" i="6" s="1"/>
  <c r="R350" i="6" s="1"/>
  <c r="I351" i="6"/>
  <c r="L351" i="6" s="1"/>
  <c r="Q351" i="6" s="1"/>
  <c r="R351" i="6" s="1"/>
  <c r="I352" i="6"/>
  <c r="I353" i="6"/>
  <c r="I354" i="6"/>
  <c r="L354" i="6" s="1"/>
  <c r="Q354" i="6" s="1"/>
  <c r="R354" i="6" s="1"/>
  <c r="I355" i="6"/>
  <c r="L355" i="6" s="1"/>
  <c r="Q355" i="6" s="1"/>
  <c r="R355" i="6" s="1"/>
  <c r="I356" i="6"/>
  <c r="I357" i="6"/>
  <c r="I358" i="6"/>
  <c r="L358" i="6" s="1"/>
  <c r="Q358" i="6" s="1"/>
  <c r="R358" i="6" s="1"/>
  <c r="I359" i="6"/>
  <c r="L359" i="6" s="1"/>
  <c r="Q359" i="6" s="1"/>
  <c r="R359" i="6" s="1"/>
  <c r="I360" i="6"/>
  <c r="I361" i="6"/>
  <c r="I362" i="6"/>
  <c r="L362" i="6" s="1"/>
  <c r="Q362" i="6" s="1"/>
  <c r="R362" i="6" s="1"/>
  <c r="I363" i="6"/>
  <c r="L363" i="6" s="1"/>
  <c r="Q363" i="6" s="1"/>
  <c r="R363" i="6" s="1"/>
  <c r="I364" i="6"/>
  <c r="I365" i="6"/>
  <c r="I366" i="6"/>
  <c r="L366" i="6" s="1"/>
  <c r="Q366" i="6" s="1"/>
  <c r="R366" i="6" s="1"/>
  <c r="I367" i="6"/>
  <c r="L367" i="6" s="1"/>
  <c r="Q367" i="6" s="1"/>
  <c r="R367" i="6" s="1"/>
  <c r="I368" i="6"/>
  <c r="I369" i="6"/>
  <c r="I370" i="6"/>
  <c r="L370" i="6" s="1"/>
  <c r="Q370" i="6" s="1"/>
  <c r="R370" i="6" s="1"/>
  <c r="I371" i="6"/>
  <c r="L371" i="6" s="1"/>
  <c r="Q371" i="6" s="1"/>
  <c r="R371" i="6" s="1"/>
  <c r="I372" i="6"/>
  <c r="I373" i="6"/>
  <c r="I374" i="6"/>
  <c r="L374" i="6" s="1"/>
  <c r="Q374" i="6" s="1"/>
  <c r="R374" i="6" s="1"/>
  <c r="I375" i="6"/>
  <c r="L375" i="6" s="1"/>
  <c r="Q375" i="6" s="1"/>
  <c r="R375" i="6" s="1"/>
  <c r="I376" i="6"/>
  <c r="I377" i="6"/>
  <c r="I378" i="6"/>
  <c r="L378" i="6" s="1"/>
  <c r="Q378" i="6" s="1"/>
  <c r="R378" i="6" s="1"/>
  <c r="I379" i="6"/>
  <c r="L379" i="6" s="1"/>
  <c r="Q379" i="6" s="1"/>
  <c r="R379" i="6" s="1"/>
  <c r="I380" i="6"/>
  <c r="I381" i="6"/>
  <c r="I382" i="6"/>
  <c r="L382" i="6" s="1"/>
  <c r="Q382" i="6" s="1"/>
  <c r="R382" i="6" s="1"/>
  <c r="I383" i="6"/>
  <c r="L383" i="6" s="1"/>
  <c r="Q383" i="6" s="1"/>
  <c r="R383" i="6" s="1"/>
  <c r="I384" i="6"/>
  <c r="I385" i="6"/>
  <c r="I386" i="6"/>
  <c r="L386" i="6" s="1"/>
  <c r="Q386" i="6" s="1"/>
  <c r="R386" i="6" s="1"/>
  <c r="I387" i="6"/>
  <c r="L387" i="6" s="1"/>
  <c r="Q387" i="6" s="1"/>
  <c r="R387" i="6" s="1"/>
  <c r="I388" i="6"/>
  <c r="I389" i="6"/>
  <c r="I390" i="6"/>
  <c r="L390" i="6" s="1"/>
  <c r="Q390" i="6" s="1"/>
  <c r="R390" i="6" s="1"/>
  <c r="I391" i="6"/>
  <c r="L391" i="6" s="1"/>
  <c r="Q391" i="6" s="1"/>
  <c r="R391" i="6" s="1"/>
  <c r="I392" i="6"/>
  <c r="I393" i="6"/>
  <c r="I394" i="6"/>
  <c r="L394" i="6" s="1"/>
  <c r="Q394" i="6" s="1"/>
  <c r="R394" i="6" s="1"/>
  <c r="I395" i="6"/>
  <c r="L395" i="6" s="1"/>
  <c r="Q395" i="6" s="1"/>
  <c r="R395" i="6" s="1"/>
  <c r="I396" i="6"/>
  <c r="I397" i="6"/>
  <c r="I398" i="6"/>
  <c r="L398" i="6" s="1"/>
  <c r="Q398" i="6" s="1"/>
  <c r="R398" i="6" s="1"/>
  <c r="I399" i="6"/>
  <c r="L399" i="6" s="1"/>
  <c r="Q399" i="6" s="1"/>
  <c r="R399" i="6" s="1"/>
  <c r="I400" i="6"/>
  <c r="I401" i="6"/>
  <c r="I402" i="6"/>
  <c r="L402" i="6" s="1"/>
  <c r="Q402" i="6" s="1"/>
  <c r="R402" i="6" s="1"/>
  <c r="I403" i="6"/>
  <c r="L403" i="6" s="1"/>
  <c r="Q403" i="6" s="1"/>
  <c r="R403" i="6" s="1"/>
  <c r="I404" i="6"/>
  <c r="I405" i="6"/>
  <c r="I406" i="6"/>
  <c r="L406" i="6" s="1"/>
  <c r="Q406" i="6" s="1"/>
  <c r="R406" i="6" s="1"/>
  <c r="I407" i="6"/>
  <c r="L407" i="6" s="1"/>
  <c r="Q407" i="6" s="1"/>
  <c r="R407" i="6" s="1"/>
  <c r="I408" i="6"/>
  <c r="I409" i="6"/>
  <c r="I410" i="6"/>
  <c r="L410" i="6" s="1"/>
  <c r="Q410" i="6" s="1"/>
  <c r="R410" i="6" s="1"/>
  <c r="I411" i="6"/>
  <c r="L411" i="6" s="1"/>
  <c r="Q411" i="6" s="1"/>
  <c r="R411" i="6" s="1"/>
  <c r="I412" i="6"/>
  <c r="I413" i="6"/>
  <c r="I414" i="6"/>
  <c r="L414" i="6" s="1"/>
  <c r="Q414" i="6" s="1"/>
  <c r="R414" i="6" s="1"/>
  <c r="I415" i="6"/>
  <c r="L415" i="6" s="1"/>
  <c r="Q415" i="6" s="1"/>
  <c r="R415" i="6" s="1"/>
  <c r="I416" i="6"/>
  <c r="I417" i="6"/>
  <c r="I418" i="6"/>
  <c r="L418" i="6" s="1"/>
  <c r="Q418" i="6" s="1"/>
  <c r="R418" i="6" s="1"/>
  <c r="I419" i="6"/>
  <c r="L419" i="6" s="1"/>
  <c r="Q419" i="6" s="1"/>
  <c r="R419" i="6" s="1"/>
  <c r="I420" i="6"/>
  <c r="I421" i="6"/>
  <c r="I422" i="6"/>
  <c r="L422" i="6" s="1"/>
  <c r="Q422" i="6" s="1"/>
  <c r="R422" i="6" s="1"/>
  <c r="I423" i="6"/>
  <c r="L423" i="6" s="1"/>
  <c r="Q423" i="6" s="1"/>
  <c r="R423" i="6" s="1"/>
  <c r="I424" i="6"/>
  <c r="I425" i="6"/>
  <c r="I426" i="6"/>
  <c r="L426" i="6" s="1"/>
  <c r="Q426" i="6" s="1"/>
  <c r="R426" i="6" s="1"/>
  <c r="I427" i="6"/>
  <c r="L427" i="6" s="1"/>
  <c r="Q427" i="6" s="1"/>
  <c r="R427" i="6" s="1"/>
  <c r="I428" i="6"/>
  <c r="I429" i="6"/>
  <c r="I430" i="6"/>
  <c r="L430" i="6" s="1"/>
  <c r="Q430" i="6" s="1"/>
  <c r="R430" i="6" s="1"/>
  <c r="I431" i="6"/>
  <c r="L431" i="6" s="1"/>
  <c r="Q431" i="6" s="1"/>
  <c r="R431" i="6" s="1"/>
  <c r="I432" i="6"/>
  <c r="I433" i="6"/>
  <c r="I434" i="6"/>
  <c r="L434" i="6" s="1"/>
  <c r="Q434" i="6" s="1"/>
  <c r="R434" i="6" s="1"/>
  <c r="I435" i="6"/>
  <c r="L435" i="6" s="1"/>
  <c r="Q435" i="6" s="1"/>
  <c r="R435" i="6" s="1"/>
  <c r="I436" i="6"/>
  <c r="I437" i="6"/>
  <c r="I438" i="6"/>
  <c r="L438" i="6" s="1"/>
  <c r="Q438" i="6" s="1"/>
  <c r="R438" i="6" s="1"/>
  <c r="I439" i="6"/>
  <c r="L439" i="6" s="1"/>
  <c r="Q439" i="6" s="1"/>
  <c r="R439" i="6" s="1"/>
  <c r="I440" i="6"/>
  <c r="I441" i="6"/>
  <c r="I442" i="6"/>
  <c r="L442" i="6" s="1"/>
  <c r="Q442" i="6" s="1"/>
  <c r="R442" i="6" s="1"/>
  <c r="I443" i="6"/>
  <c r="L443" i="6" s="1"/>
  <c r="Q443" i="6" s="1"/>
  <c r="R443" i="6" s="1"/>
  <c r="I444" i="6"/>
  <c r="I445" i="6"/>
  <c r="I446" i="6"/>
  <c r="L446" i="6" s="1"/>
  <c r="Q446" i="6" s="1"/>
  <c r="R446" i="6" s="1"/>
  <c r="I447" i="6"/>
  <c r="L447" i="6" s="1"/>
  <c r="Q447" i="6" s="1"/>
  <c r="R447" i="6" s="1"/>
  <c r="I448" i="6"/>
  <c r="I449" i="6"/>
  <c r="I450" i="6"/>
  <c r="L450" i="6" s="1"/>
  <c r="Q450" i="6" s="1"/>
  <c r="R450" i="6" s="1"/>
  <c r="I451" i="6"/>
  <c r="L451" i="6" s="1"/>
  <c r="Q451" i="6" s="1"/>
  <c r="R451" i="6" s="1"/>
  <c r="I452" i="6"/>
  <c r="I453" i="6"/>
  <c r="I454" i="6"/>
  <c r="L454" i="6" s="1"/>
  <c r="Q454" i="6" s="1"/>
  <c r="R454" i="6" s="1"/>
  <c r="I455" i="6"/>
  <c r="L455" i="6" s="1"/>
  <c r="Q455" i="6" s="1"/>
  <c r="R455" i="6" s="1"/>
  <c r="I456" i="6"/>
  <c r="I457" i="6"/>
  <c r="I458" i="6"/>
  <c r="L458" i="6" s="1"/>
  <c r="Q458" i="6" s="1"/>
  <c r="R458" i="6" s="1"/>
  <c r="I459" i="6"/>
  <c r="L459" i="6" s="1"/>
  <c r="Q459" i="6" s="1"/>
  <c r="R459" i="6" s="1"/>
  <c r="I460" i="6"/>
  <c r="I461" i="6"/>
  <c r="I462" i="6"/>
  <c r="L462" i="6" s="1"/>
  <c r="Q462" i="6" s="1"/>
  <c r="R462" i="6" s="1"/>
  <c r="I463" i="6"/>
  <c r="L463" i="6" s="1"/>
  <c r="Q463" i="6" s="1"/>
  <c r="R463" i="6" s="1"/>
  <c r="I464" i="6"/>
  <c r="I465" i="6"/>
  <c r="I466" i="6"/>
  <c r="L466" i="6" s="1"/>
  <c r="Q466" i="6" s="1"/>
  <c r="R466" i="6" s="1"/>
  <c r="I467" i="6"/>
  <c r="L467" i="6" s="1"/>
  <c r="Q467" i="6" s="1"/>
  <c r="R467" i="6" s="1"/>
  <c r="I468" i="6"/>
  <c r="I469" i="6"/>
  <c r="I470" i="6"/>
  <c r="N470" i="6" s="1"/>
  <c r="T470" i="6" s="1"/>
  <c r="U470" i="6" s="1"/>
  <c r="I471" i="6"/>
  <c r="L471" i="6" s="1"/>
  <c r="Q471" i="6" s="1"/>
  <c r="R471" i="6" s="1"/>
  <c r="I472" i="6"/>
  <c r="I473" i="6"/>
  <c r="I474" i="6"/>
  <c r="L474" i="6" s="1"/>
  <c r="Q474" i="6" s="1"/>
  <c r="R474" i="6" s="1"/>
  <c r="I475" i="6"/>
  <c r="L475" i="6" s="1"/>
  <c r="Q475" i="6" s="1"/>
  <c r="R475" i="6" s="1"/>
  <c r="I476" i="6"/>
  <c r="I477" i="6"/>
  <c r="I478" i="6"/>
  <c r="L478" i="6" s="1"/>
  <c r="Q478" i="6" s="1"/>
  <c r="R478" i="6" s="1"/>
  <c r="I479" i="6"/>
  <c r="L479" i="6" s="1"/>
  <c r="Q479" i="6" s="1"/>
  <c r="R479" i="6" s="1"/>
  <c r="I480" i="6"/>
  <c r="I481" i="6"/>
  <c r="I482" i="6"/>
  <c r="L482" i="6" s="1"/>
  <c r="Q482" i="6" s="1"/>
  <c r="R482" i="6" s="1"/>
  <c r="I483" i="6"/>
  <c r="L483" i="6" s="1"/>
  <c r="Q483" i="6" s="1"/>
  <c r="R483" i="6" s="1"/>
  <c r="I484" i="6"/>
  <c r="I485" i="6"/>
  <c r="I486" i="6"/>
  <c r="L486" i="6" s="1"/>
  <c r="Q486" i="6" s="1"/>
  <c r="R486" i="6" s="1"/>
  <c r="I487" i="6"/>
  <c r="L487" i="6" s="1"/>
  <c r="Q487" i="6" s="1"/>
  <c r="R487" i="6" s="1"/>
  <c r="I488" i="6"/>
  <c r="I489" i="6"/>
  <c r="I490" i="6"/>
  <c r="L490" i="6" s="1"/>
  <c r="Q490" i="6" s="1"/>
  <c r="R490" i="6" s="1"/>
  <c r="I491" i="6"/>
  <c r="L491" i="6" s="1"/>
  <c r="Q491" i="6" s="1"/>
  <c r="R491" i="6" s="1"/>
  <c r="I492" i="6"/>
  <c r="I493" i="6"/>
  <c r="I494" i="6"/>
  <c r="L494" i="6" s="1"/>
  <c r="Q494" i="6" s="1"/>
  <c r="R494" i="6" s="1"/>
  <c r="I495" i="6"/>
  <c r="L495" i="6" s="1"/>
  <c r="Q495" i="6" s="1"/>
  <c r="R495" i="6" s="1"/>
  <c r="I496" i="6"/>
  <c r="I497" i="6"/>
  <c r="I498" i="6"/>
  <c r="L498" i="6" s="1"/>
  <c r="Q498" i="6" s="1"/>
  <c r="R498" i="6" s="1"/>
  <c r="I499" i="6"/>
  <c r="L499" i="6" s="1"/>
  <c r="Q499" i="6" s="1"/>
  <c r="R499" i="6" s="1"/>
  <c r="I500" i="6"/>
  <c r="I501" i="6"/>
  <c r="I502" i="6"/>
  <c r="L502" i="6" s="1"/>
  <c r="Q502" i="6" s="1"/>
  <c r="R502" i="6" s="1"/>
  <c r="I503" i="6"/>
  <c r="L503" i="6" s="1"/>
  <c r="Q503" i="6" s="1"/>
  <c r="R503" i="6" s="1"/>
  <c r="I504" i="6"/>
  <c r="I505" i="6"/>
  <c r="I506" i="6"/>
  <c r="L506" i="6" s="1"/>
  <c r="Q506" i="6" s="1"/>
  <c r="R506" i="6" s="1"/>
  <c r="I507" i="6"/>
  <c r="N507" i="6" s="1"/>
  <c r="T507" i="6" s="1"/>
  <c r="U507" i="6" s="1"/>
  <c r="I508" i="6"/>
  <c r="I509" i="6"/>
  <c r="I510" i="6"/>
  <c r="L510" i="6" s="1"/>
  <c r="Q510" i="6" s="1"/>
  <c r="R510" i="6" s="1"/>
  <c r="I511" i="6"/>
  <c r="L511" i="6" s="1"/>
  <c r="Q511" i="6" s="1"/>
  <c r="R511" i="6" s="1"/>
  <c r="I512" i="6"/>
  <c r="I513" i="6"/>
  <c r="I514" i="6"/>
  <c r="L514" i="6" s="1"/>
  <c r="Q514" i="6" s="1"/>
  <c r="R514" i="6" s="1"/>
  <c r="I515" i="6"/>
  <c r="L515" i="6" s="1"/>
  <c r="Q515" i="6" s="1"/>
  <c r="R515" i="6" s="1"/>
  <c r="I516" i="6"/>
  <c r="I517" i="6"/>
  <c r="I518" i="6"/>
  <c r="L518" i="6" s="1"/>
  <c r="Q518" i="6" s="1"/>
  <c r="R518" i="6" s="1"/>
  <c r="I519" i="6"/>
  <c r="L519" i="6" s="1"/>
  <c r="Q519" i="6" s="1"/>
  <c r="R519" i="6" s="1"/>
  <c r="I520" i="6"/>
  <c r="I521" i="6"/>
  <c r="I522" i="6"/>
  <c r="L522" i="6" s="1"/>
  <c r="Q522" i="6" s="1"/>
  <c r="R522" i="6" s="1"/>
  <c r="I523" i="6"/>
  <c r="L523" i="6" s="1"/>
  <c r="Q523" i="6" s="1"/>
  <c r="R523" i="6" s="1"/>
  <c r="I524" i="6"/>
  <c r="I525" i="6"/>
  <c r="I526" i="6"/>
  <c r="L526" i="6" s="1"/>
  <c r="Q526" i="6" s="1"/>
  <c r="R526" i="6" s="1"/>
  <c r="I527" i="6"/>
  <c r="L527" i="6" s="1"/>
  <c r="Q527" i="6" s="1"/>
  <c r="R527" i="6" s="1"/>
  <c r="I528" i="6"/>
  <c r="I529" i="6"/>
  <c r="I530" i="6"/>
  <c r="L530" i="6" s="1"/>
  <c r="Q530" i="6" s="1"/>
  <c r="R530" i="6" s="1"/>
  <c r="I531" i="6"/>
  <c r="L531" i="6" s="1"/>
  <c r="Q531" i="6" s="1"/>
  <c r="R531" i="6" s="1"/>
  <c r="I532" i="6"/>
  <c r="I533" i="6"/>
  <c r="I534" i="6"/>
  <c r="N534" i="6" s="1"/>
  <c r="T534" i="6" s="1"/>
  <c r="U534" i="6" s="1"/>
  <c r="I535" i="6"/>
  <c r="L535" i="6" s="1"/>
  <c r="Q535" i="6" s="1"/>
  <c r="R535" i="6" s="1"/>
  <c r="I536" i="6"/>
  <c r="I537" i="6"/>
  <c r="I538" i="6"/>
  <c r="L538" i="6" s="1"/>
  <c r="Q538" i="6" s="1"/>
  <c r="R538" i="6" s="1"/>
  <c r="I539" i="6"/>
  <c r="L539" i="6" s="1"/>
  <c r="Q539" i="6" s="1"/>
  <c r="R539" i="6" s="1"/>
  <c r="I540" i="6"/>
  <c r="I541" i="6"/>
  <c r="I542" i="6"/>
  <c r="L542" i="6" s="1"/>
  <c r="Q542" i="6" s="1"/>
  <c r="R542" i="6" s="1"/>
  <c r="I543" i="6"/>
  <c r="L543" i="6" s="1"/>
  <c r="Q543" i="6" s="1"/>
  <c r="R543" i="6" s="1"/>
  <c r="I544" i="6"/>
  <c r="I545" i="6"/>
  <c r="I546" i="6"/>
  <c r="L546" i="6" s="1"/>
  <c r="Q546" i="6" s="1"/>
  <c r="R546" i="6" s="1"/>
  <c r="I547" i="6"/>
  <c r="L547" i="6" s="1"/>
  <c r="Q547" i="6" s="1"/>
  <c r="R547" i="6" s="1"/>
  <c r="I548" i="6"/>
  <c r="I549" i="6"/>
  <c r="I550" i="6"/>
  <c r="L550" i="6" s="1"/>
  <c r="Q550" i="6" s="1"/>
  <c r="I551" i="6"/>
  <c r="L551" i="6" s="1"/>
  <c r="Q551" i="6" s="1"/>
  <c r="I552" i="6"/>
  <c r="I553" i="6"/>
  <c r="I554" i="6"/>
  <c r="L554" i="6" s="1"/>
  <c r="Q554" i="6" s="1"/>
  <c r="R554" i="6" s="1"/>
  <c r="I555" i="6"/>
  <c r="L555" i="6" s="1"/>
  <c r="Q555" i="6" s="1"/>
  <c r="R555" i="6" s="1"/>
  <c r="I556" i="6"/>
  <c r="L556" i="6" s="1"/>
  <c r="Q556" i="6" s="1"/>
  <c r="R556" i="6" s="1"/>
  <c r="I557" i="6"/>
  <c r="I558" i="6"/>
  <c r="L558" i="6" s="1"/>
  <c r="Q558" i="6" s="1"/>
  <c r="R558" i="6" s="1"/>
  <c r="I559" i="6"/>
  <c r="N559" i="6" s="1"/>
  <c r="T559" i="6" s="1"/>
  <c r="U559" i="6" s="1"/>
  <c r="I560" i="6"/>
  <c r="L560" i="6" s="1"/>
  <c r="Q560" i="6" s="1"/>
  <c r="R560" i="6" s="1"/>
  <c r="I561" i="6"/>
  <c r="N561" i="6" s="1"/>
  <c r="T561" i="6" s="1"/>
  <c r="U561" i="6" s="1"/>
  <c r="I562" i="6"/>
  <c r="L562" i="6" s="1"/>
  <c r="Q562" i="6" s="1"/>
  <c r="R562" i="6" s="1"/>
  <c r="I563" i="6"/>
  <c r="N563" i="6" s="1"/>
  <c r="T563" i="6" s="1"/>
  <c r="U563" i="6" s="1"/>
  <c r="R4" i="6" l="1"/>
  <c r="L534" i="6"/>
  <c r="Q534" i="6" s="1"/>
  <c r="R534" i="6" s="1"/>
  <c r="N462" i="6"/>
  <c r="T462" i="6" s="1"/>
  <c r="U462" i="6" s="1"/>
  <c r="N334" i="6"/>
  <c r="T334" i="6" s="1"/>
  <c r="U334" i="6" s="1"/>
  <c r="N109" i="6"/>
  <c r="T109" i="6" s="1"/>
  <c r="U109" i="6" s="1"/>
  <c r="N430" i="6"/>
  <c r="T430" i="6" s="1"/>
  <c r="U430" i="6" s="1"/>
  <c r="N302" i="6"/>
  <c r="T302" i="6" s="1"/>
  <c r="U302" i="6" s="1"/>
  <c r="N13" i="6"/>
  <c r="T13" i="6" s="1"/>
  <c r="U13" i="6" s="1"/>
  <c r="N526" i="6"/>
  <c r="T526" i="6" s="1"/>
  <c r="U526" i="6" s="1"/>
  <c r="N398" i="6"/>
  <c r="T398" i="6" s="1"/>
  <c r="U398" i="6" s="1"/>
  <c r="N221" i="6"/>
  <c r="T221" i="6" s="1"/>
  <c r="N494" i="6"/>
  <c r="T494" i="6" s="1"/>
  <c r="U494" i="6" s="1"/>
  <c r="N366" i="6"/>
  <c r="T366" i="6" s="1"/>
  <c r="U366" i="6" s="1"/>
  <c r="N141" i="6"/>
  <c r="T141" i="6" s="1"/>
  <c r="U141" i="6" s="1"/>
  <c r="L470" i="6"/>
  <c r="Q470" i="6" s="1"/>
  <c r="R470" i="6" s="1"/>
  <c r="N550" i="6"/>
  <c r="T550" i="6" s="1"/>
  <c r="U550" i="6" s="1"/>
  <c r="N518" i="6"/>
  <c r="T518" i="6" s="1"/>
  <c r="U518" i="6" s="1"/>
  <c r="N486" i="6"/>
  <c r="T486" i="6" s="1"/>
  <c r="U486" i="6" s="1"/>
  <c r="N454" i="6"/>
  <c r="T454" i="6" s="1"/>
  <c r="U454" i="6" s="1"/>
  <c r="N422" i="6"/>
  <c r="T422" i="6" s="1"/>
  <c r="U422" i="6" s="1"/>
  <c r="N390" i="6"/>
  <c r="T390" i="6" s="1"/>
  <c r="U390" i="6" s="1"/>
  <c r="N358" i="6"/>
  <c r="T358" i="6" s="1"/>
  <c r="U358" i="6" s="1"/>
  <c r="N326" i="6"/>
  <c r="T326" i="6" s="1"/>
  <c r="U326" i="6" s="1"/>
  <c r="N36" i="6"/>
  <c r="T36" i="6" s="1"/>
  <c r="U36" i="6" s="1"/>
  <c r="N44" i="6"/>
  <c r="T44" i="6" s="1"/>
  <c r="U44" i="6" s="1"/>
  <c r="L91" i="6"/>
  <c r="Q91" i="6" s="1"/>
  <c r="N542" i="6"/>
  <c r="T542" i="6" s="1"/>
  <c r="U542" i="6" s="1"/>
  <c r="N510" i="6"/>
  <c r="T510" i="6" s="1"/>
  <c r="U510" i="6" s="1"/>
  <c r="N478" i="6"/>
  <c r="T478" i="6" s="1"/>
  <c r="U478" i="6" s="1"/>
  <c r="N446" i="6"/>
  <c r="T446" i="6" s="1"/>
  <c r="U446" i="6" s="1"/>
  <c r="N414" i="6"/>
  <c r="T414" i="6" s="1"/>
  <c r="U414" i="6" s="1"/>
  <c r="N382" i="6"/>
  <c r="T382" i="6" s="1"/>
  <c r="U382" i="6" s="1"/>
  <c r="N350" i="6"/>
  <c r="T350" i="6" s="1"/>
  <c r="U350" i="6" s="1"/>
  <c r="N318" i="6"/>
  <c r="T318" i="6" s="1"/>
  <c r="U318" i="6" s="1"/>
  <c r="N200" i="6"/>
  <c r="T200" i="6" s="1"/>
  <c r="U200" i="6" s="1"/>
  <c r="N77" i="6"/>
  <c r="T77" i="6" s="1"/>
  <c r="N29" i="6"/>
  <c r="T29" i="6" s="1"/>
  <c r="U29" i="6" s="1"/>
  <c r="N12" i="6"/>
  <c r="T12" i="6" s="1"/>
  <c r="U12" i="6" s="1"/>
  <c r="N20" i="6"/>
  <c r="T20" i="6" s="1"/>
  <c r="U20" i="6" s="1"/>
  <c r="L27" i="6"/>
  <c r="Q27" i="6" s="1"/>
  <c r="R27" i="6" s="1"/>
  <c r="N502" i="6"/>
  <c r="T502" i="6" s="1"/>
  <c r="U502" i="6" s="1"/>
  <c r="N438" i="6"/>
  <c r="T438" i="6" s="1"/>
  <c r="U438" i="6" s="1"/>
  <c r="N406" i="6"/>
  <c r="T406" i="6" s="1"/>
  <c r="U406" i="6" s="1"/>
  <c r="N374" i="6"/>
  <c r="T374" i="6" s="1"/>
  <c r="U374" i="6" s="1"/>
  <c r="N342" i="6"/>
  <c r="T342" i="6" s="1"/>
  <c r="U342" i="6" s="1"/>
  <c r="N310" i="6"/>
  <c r="T310" i="6" s="1"/>
  <c r="U310" i="6" s="1"/>
  <c r="N173" i="6"/>
  <c r="T173" i="6" s="1"/>
  <c r="U173" i="6" s="1"/>
  <c r="N45" i="6"/>
  <c r="T45" i="6" s="1"/>
  <c r="U45" i="6" s="1"/>
  <c r="N28" i="6"/>
  <c r="T28" i="6" s="1"/>
  <c r="U28" i="6" s="1"/>
  <c r="L215" i="6"/>
  <c r="Q215" i="6" s="1"/>
  <c r="N215" i="6"/>
  <c r="T215" i="6" s="1"/>
  <c r="L203" i="6"/>
  <c r="Q203" i="6" s="1"/>
  <c r="N203" i="6"/>
  <c r="T203" i="6" s="1"/>
  <c r="U203" i="6" s="1"/>
  <c r="L191" i="6"/>
  <c r="Q191" i="6" s="1"/>
  <c r="N191" i="6"/>
  <c r="T191" i="6" s="1"/>
  <c r="U191" i="6" s="1"/>
  <c r="L298" i="6"/>
  <c r="Q298" i="6" s="1"/>
  <c r="R298" i="6" s="1"/>
  <c r="N298" i="6"/>
  <c r="T298" i="6" s="1"/>
  <c r="U298" i="6" s="1"/>
  <c r="L294" i="6"/>
  <c r="Q294" i="6" s="1"/>
  <c r="R294" i="6" s="1"/>
  <c r="N294" i="6"/>
  <c r="T294" i="6" s="1"/>
  <c r="U294" i="6" s="1"/>
  <c r="L290" i="6"/>
  <c r="Q290" i="6" s="1"/>
  <c r="R290" i="6" s="1"/>
  <c r="N290" i="6"/>
  <c r="T290" i="6" s="1"/>
  <c r="U290" i="6" s="1"/>
  <c r="L286" i="6"/>
  <c r="Q286" i="6" s="1"/>
  <c r="R286" i="6" s="1"/>
  <c r="N286" i="6"/>
  <c r="T286" i="6" s="1"/>
  <c r="U286" i="6" s="1"/>
  <c r="L282" i="6"/>
  <c r="Q282" i="6" s="1"/>
  <c r="R282" i="6" s="1"/>
  <c r="N282" i="6"/>
  <c r="T282" i="6" s="1"/>
  <c r="U282" i="6" s="1"/>
  <c r="L278" i="6"/>
  <c r="Q278" i="6" s="1"/>
  <c r="R278" i="6" s="1"/>
  <c r="N278" i="6"/>
  <c r="T278" i="6" s="1"/>
  <c r="U278" i="6" s="1"/>
  <c r="L274" i="6"/>
  <c r="Q274" i="6" s="1"/>
  <c r="R274" i="6" s="1"/>
  <c r="N274" i="6"/>
  <c r="T274" i="6" s="1"/>
  <c r="U274" i="6" s="1"/>
  <c r="L270" i="6"/>
  <c r="Q270" i="6" s="1"/>
  <c r="R270" i="6" s="1"/>
  <c r="N270" i="6"/>
  <c r="T270" i="6" s="1"/>
  <c r="U270" i="6" s="1"/>
  <c r="L266" i="6"/>
  <c r="Q266" i="6" s="1"/>
  <c r="R266" i="6" s="1"/>
  <c r="N266" i="6"/>
  <c r="T266" i="6" s="1"/>
  <c r="U266" i="6" s="1"/>
  <c r="L262" i="6"/>
  <c r="Q262" i="6" s="1"/>
  <c r="R262" i="6" s="1"/>
  <c r="N262" i="6"/>
  <c r="T262" i="6" s="1"/>
  <c r="U262" i="6" s="1"/>
  <c r="L258" i="6"/>
  <c r="Q258" i="6" s="1"/>
  <c r="N258" i="6"/>
  <c r="T258" i="6" s="1"/>
  <c r="U258" i="6" s="1"/>
  <c r="L254" i="6"/>
  <c r="Q254" i="6" s="1"/>
  <c r="N254" i="6"/>
  <c r="T254" i="6" s="1"/>
  <c r="U254" i="6" s="1"/>
  <c r="L250" i="6"/>
  <c r="Q250" i="6" s="1"/>
  <c r="N250" i="6"/>
  <c r="T250" i="6" s="1"/>
  <c r="U250" i="6" s="1"/>
  <c r="L246" i="6"/>
  <c r="Q246" i="6" s="1"/>
  <c r="N246" i="6"/>
  <c r="T246" i="6" s="1"/>
  <c r="U246" i="6" s="1"/>
  <c r="L242" i="6"/>
  <c r="Q242" i="6" s="1"/>
  <c r="N242" i="6"/>
  <c r="T242" i="6" s="1"/>
  <c r="U242" i="6" s="1"/>
  <c r="L238" i="6"/>
  <c r="Q238" i="6" s="1"/>
  <c r="N238" i="6"/>
  <c r="T238" i="6" s="1"/>
  <c r="U238" i="6" s="1"/>
  <c r="L234" i="6"/>
  <c r="Q234" i="6" s="1"/>
  <c r="N234" i="6"/>
  <c r="T234" i="6" s="1"/>
  <c r="U234" i="6" s="1"/>
  <c r="L230" i="6"/>
  <c r="Q230" i="6" s="1"/>
  <c r="N230" i="6"/>
  <c r="T230" i="6" s="1"/>
  <c r="L222" i="6"/>
  <c r="Q222" i="6" s="1"/>
  <c r="N222" i="6"/>
  <c r="T222" i="6" s="1"/>
  <c r="L218" i="6"/>
  <c r="Q218" i="6" s="1"/>
  <c r="N218" i="6"/>
  <c r="T218" i="6" s="1"/>
  <c r="L214" i="6"/>
  <c r="Q214" i="6" s="1"/>
  <c r="N214" i="6"/>
  <c r="T214" i="6" s="1"/>
  <c r="L206" i="6"/>
  <c r="Q206" i="6" s="1"/>
  <c r="N206" i="6"/>
  <c r="T206" i="6" s="1"/>
  <c r="L202" i="6"/>
  <c r="Q202" i="6" s="1"/>
  <c r="N202" i="6"/>
  <c r="T202" i="6" s="1"/>
  <c r="U202" i="6" s="1"/>
  <c r="L198" i="6"/>
  <c r="Q198" i="6" s="1"/>
  <c r="N198" i="6"/>
  <c r="T198" i="6" s="1"/>
  <c r="U198" i="6" s="1"/>
  <c r="L190" i="6"/>
  <c r="Q190" i="6" s="1"/>
  <c r="N190" i="6"/>
  <c r="T190" i="6" s="1"/>
  <c r="U190" i="6" s="1"/>
  <c r="L186" i="6"/>
  <c r="Q186" i="6" s="1"/>
  <c r="N186" i="6"/>
  <c r="T186" i="6" s="1"/>
  <c r="U186" i="6" s="1"/>
  <c r="L182" i="6"/>
  <c r="Q182" i="6" s="1"/>
  <c r="N182" i="6"/>
  <c r="T182" i="6" s="1"/>
  <c r="U182" i="6" s="1"/>
  <c r="L178" i="6"/>
  <c r="Q178" i="6" s="1"/>
  <c r="R178" i="6" s="1"/>
  <c r="N178" i="6"/>
  <c r="T178" i="6" s="1"/>
  <c r="U178" i="6" s="1"/>
  <c r="L174" i="6"/>
  <c r="Q174" i="6" s="1"/>
  <c r="R174" i="6" s="1"/>
  <c r="N174" i="6"/>
  <c r="T174" i="6" s="1"/>
  <c r="U174" i="6" s="1"/>
  <c r="L170" i="6"/>
  <c r="Q170" i="6" s="1"/>
  <c r="R170" i="6" s="1"/>
  <c r="N170" i="6"/>
  <c r="T170" i="6" s="1"/>
  <c r="U170" i="6" s="1"/>
  <c r="L166" i="6"/>
  <c r="Q166" i="6" s="1"/>
  <c r="R166" i="6" s="1"/>
  <c r="N166" i="6"/>
  <c r="T166" i="6" s="1"/>
  <c r="U166" i="6" s="1"/>
  <c r="L162" i="6"/>
  <c r="Q162" i="6" s="1"/>
  <c r="R162" i="6" s="1"/>
  <c r="N162" i="6"/>
  <c r="T162" i="6" s="1"/>
  <c r="U162" i="6" s="1"/>
  <c r="L158" i="6"/>
  <c r="Q158" i="6" s="1"/>
  <c r="R158" i="6" s="1"/>
  <c r="N158" i="6"/>
  <c r="T158" i="6" s="1"/>
  <c r="U158" i="6" s="1"/>
  <c r="L154" i="6"/>
  <c r="Q154" i="6" s="1"/>
  <c r="R154" i="6" s="1"/>
  <c r="N154" i="6"/>
  <c r="T154" i="6" s="1"/>
  <c r="U154" i="6" s="1"/>
  <c r="L150" i="6"/>
  <c r="Q150" i="6" s="1"/>
  <c r="R150" i="6" s="1"/>
  <c r="N150" i="6"/>
  <c r="T150" i="6" s="1"/>
  <c r="U150" i="6" s="1"/>
  <c r="L146" i="6"/>
  <c r="Q146" i="6" s="1"/>
  <c r="R146" i="6" s="1"/>
  <c r="N146" i="6"/>
  <c r="T146" i="6" s="1"/>
  <c r="U146" i="6" s="1"/>
  <c r="L142" i="6"/>
  <c r="Q142" i="6" s="1"/>
  <c r="R142" i="6" s="1"/>
  <c r="N142" i="6"/>
  <c r="T142" i="6" s="1"/>
  <c r="U142" i="6" s="1"/>
  <c r="L138" i="6"/>
  <c r="Q138" i="6" s="1"/>
  <c r="R138" i="6" s="1"/>
  <c r="N138" i="6"/>
  <c r="T138" i="6" s="1"/>
  <c r="U138" i="6" s="1"/>
  <c r="L134" i="6"/>
  <c r="Q134" i="6" s="1"/>
  <c r="R134" i="6" s="1"/>
  <c r="N134" i="6"/>
  <c r="T134" i="6" s="1"/>
  <c r="U134" i="6" s="1"/>
  <c r="L130" i="6"/>
  <c r="Q130" i="6" s="1"/>
  <c r="R130" i="6" s="1"/>
  <c r="N130" i="6"/>
  <c r="T130" i="6" s="1"/>
  <c r="U130" i="6" s="1"/>
  <c r="L126" i="6"/>
  <c r="Q126" i="6" s="1"/>
  <c r="R126" i="6" s="1"/>
  <c r="N126" i="6"/>
  <c r="T126" i="6" s="1"/>
  <c r="U126" i="6" s="1"/>
  <c r="L122" i="6"/>
  <c r="Q122" i="6" s="1"/>
  <c r="R122" i="6" s="1"/>
  <c r="N122" i="6"/>
  <c r="T122" i="6" s="1"/>
  <c r="U122" i="6" s="1"/>
  <c r="L118" i="6"/>
  <c r="Q118" i="6" s="1"/>
  <c r="R118" i="6" s="1"/>
  <c r="N118" i="6"/>
  <c r="T118" i="6" s="1"/>
  <c r="U118" i="6" s="1"/>
  <c r="L114" i="6"/>
  <c r="Q114" i="6" s="1"/>
  <c r="R114" i="6" s="1"/>
  <c r="N114" i="6"/>
  <c r="T114" i="6" s="1"/>
  <c r="U114" i="6" s="1"/>
  <c r="L110" i="6"/>
  <c r="Q110" i="6" s="1"/>
  <c r="R110" i="6" s="1"/>
  <c r="N110" i="6"/>
  <c r="T110" i="6" s="1"/>
  <c r="U110" i="6" s="1"/>
  <c r="L106" i="6"/>
  <c r="Q106" i="6" s="1"/>
  <c r="R106" i="6" s="1"/>
  <c r="N106" i="6"/>
  <c r="T106" i="6" s="1"/>
  <c r="U106" i="6" s="1"/>
  <c r="L102" i="6"/>
  <c r="Q102" i="6" s="1"/>
  <c r="R102" i="6" s="1"/>
  <c r="N102" i="6"/>
  <c r="T102" i="6" s="1"/>
  <c r="U102" i="6" s="1"/>
  <c r="L98" i="6"/>
  <c r="Q98" i="6" s="1"/>
  <c r="N98" i="6"/>
  <c r="T98" i="6" s="1"/>
  <c r="L94" i="6"/>
  <c r="Q94" i="6" s="1"/>
  <c r="N94" i="6"/>
  <c r="T94" i="6" s="1"/>
  <c r="L90" i="6"/>
  <c r="Q90" i="6" s="1"/>
  <c r="N90" i="6"/>
  <c r="T90" i="6" s="1"/>
  <c r="L86" i="6"/>
  <c r="Q86" i="6" s="1"/>
  <c r="N86" i="6"/>
  <c r="T86" i="6" s="1"/>
  <c r="L82" i="6"/>
  <c r="Q82" i="6" s="1"/>
  <c r="N82" i="6"/>
  <c r="T82" i="6" s="1"/>
  <c r="L78" i="6"/>
  <c r="Q78" i="6" s="1"/>
  <c r="N78" i="6"/>
  <c r="T78" i="6" s="1"/>
  <c r="L74" i="6"/>
  <c r="Q74" i="6" s="1"/>
  <c r="N74" i="6"/>
  <c r="T74" i="6" s="1"/>
  <c r="L70" i="6"/>
  <c r="Q70" i="6" s="1"/>
  <c r="R70" i="6" s="1"/>
  <c r="N70" i="6"/>
  <c r="T70" i="6" s="1"/>
  <c r="U70" i="6" s="1"/>
  <c r="L66" i="6"/>
  <c r="Q66" i="6" s="1"/>
  <c r="R66" i="6" s="1"/>
  <c r="N66" i="6"/>
  <c r="T66" i="6" s="1"/>
  <c r="U66" i="6" s="1"/>
  <c r="L62" i="6"/>
  <c r="Q62" i="6" s="1"/>
  <c r="R62" i="6" s="1"/>
  <c r="N62" i="6"/>
  <c r="T62" i="6" s="1"/>
  <c r="U62" i="6" s="1"/>
  <c r="L58" i="6"/>
  <c r="Q58" i="6" s="1"/>
  <c r="R58" i="6" s="1"/>
  <c r="N58" i="6"/>
  <c r="T58" i="6" s="1"/>
  <c r="U58" i="6" s="1"/>
  <c r="L54" i="6"/>
  <c r="Q54" i="6" s="1"/>
  <c r="R54" i="6" s="1"/>
  <c r="N54" i="6"/>
  <c r="T54" i="6" s="1"/>
  <c r="U54" i="6" s="1"/>
  <c r="L50" i="6"/>
  <c r="Q50" i="6" s="1"/>
  <c r="R50" i="6" s="1"/>
  <c r="N50" i="6"/>
  <c r="T50" i="6" s="1"/>
  <c r="U50" i="6" s="1"/>
  <c r="L46" i="6"/>
  <c r="Q46" i="6" s="1"/>
  <c r="R46" i="6" s="1"/>
  <c r="N46" i="6"/>
  <c r="T46" i="6" s="1"/>
  <c r="U46" i="6" s="1"/>
  <c r="L42" i="6"/>
  <c r="Q42" i="6" s="1"/>
  <c r="R42" i="6" s="1"/>
  <c r="N42" i="6"/>
  <c r="T42" i="6" s="1"/>
  <c r="U42" i="6" s="1"/>
  <c r="L38" i="6"/>
  <c r="Q38" i="6" s="1"/>
  <c r="R38" i="6" s="1"/>
  <c r="N38" i="6"/>
  <c r="T38" i="6" s="1"/>
  <c r="U38" i="6" s="1"/>
  <c r="L34" i="6"/>
  <c r="Q34" i="6" s="1"/>
  <c r="R34" i="6" s="1"/>
  <c r="N34" i="6"/>
  <c r="T34" i="6" s="1"/>
  <c r="U34" i="6" s="1"/>
  <c r="L30" i="6"/>
  <c r="Q30" i="6" s="1"/>
  <c r="R30" i="6" s="1"/>
  <c r="N30" i="6"/>
  <c r="T30" i="6" s="1"/>
  <c r="U30" i="6" s="1"/>
  <c r="L26" i="6"/>
  <c r="Q26" i="6" s="1"/>
  <c r="R26" i="6" s="1"/>
  <c r="N26" i="6"/>
  <c r="T26" i="6" s="1"/>
  <c r="U26" i="6" s="1"/>
  <c r="L22" i="6"/>
  <c r="Q22" i="6" s="1"/>
  <c r="R22" i="6" s="1"/>
  <c r="N22" i="6"/>
  <c r="T22" i="6" s="1"/>
  <c r="U22" i="6" s="1"/>
  <c r="L18" i="6"/>
  <c r="Q18" i="6" s="1"/>
  <c r="R18" i="6" s="1"/>
  <c r="N18" i="6"/>
  <c r="T18" i="6" s="1"/>
  <c r="U18" i="6" s="1"/>
  <c r="L14" i="6"/>
  <c r="Q14" i="6" s="1"/>
  <c r="N14" i="6"/>
  <c r="T14" i="6" s="1"/>
  <c r="U14" i="6" s="1"/>
  <c r="L10" i="6"/>
  <c r="Q10" i="6" s="1"/>
  <c r="N10" i="6"/>
  <c r="T10" i="6" s="1"/>
  <c r="U10" i="6" s="1"/>
  <c r="L6" i="6"/>
  <c r="Q6" i="6" s="1"/>
  <c r="R6" i="6" s="1"/>
  <c r="N6" i="6"/>
  <c r="T6" i="6" s="1"/>
  <c r="U6" i="6" s="1"/>
  <c r="L507" i="6"/>
  <c r="Q507" i="6" s="1"/>
  <c r="R507" i="6" s="1"/>
  <c r="L291" i="6"/>
  <c r="Q291" i="6" s="1"/>
  <c r="R291" i="6" s="1"/>
  <c r="N555" i="6"/>
  <c r="T555" i="6" s="1"/>
  <c r="U555" i="6" s="1"/>
  <c r="N547" i="6"/>
  <c r="T547" i="6" s="1"/>
  <c r="U547" i="6" s="1"/>
  <c r="N539" i="6"/>
  <c r="T539" i="6" s="1"/>
  <c r="U539" i="6" s="1"/>
  <c r="N531" i="6"/>
  <c r="T531" i="6" s="1"/>
  <c r="U531" i="6" s="1"/>
  <c r="N523" i="6"/>
  <c r="T523" i="6" s="1"/>
  <c r="U523" i="6" s="1"/>
  <c r="N515" i="6"/>
  <c r="T515" i="6" s="1"/>
  <c r="U515" i="6" s="1"/>
  <c r="N499" i="6"/>
  <c r="T499" i="6" s="1"/>
  <c r="U499" i="6" s="1"/>
  <c r="N491" i="6"/>
  <c r="T491" i="6" s="1"/>
  <c r="U491" i="6" s="1"/>
  <c r="N483" i="6"/>
  <c r="T483" i="6" s="1"/>
  <c r="U483" i="6" s="1"/>
  <c r="N475" i="6"/>
  <c r="T475" i="6" s="1"/>
  <c r="U475" i="6" s="1"/>
  <c r="N467" i="6"/>
  <c r="T467" i="6" s="1"/>
  <c r="U467" i="6" s="1"/>
  <c r="N459" i="6"/>
  <c r="T459" i="6" s="1"/>
  <c r="U459" i="6" s="1"/>
  <c r="N451" i="6"/>
  <c r="T451" i="6" s="1"/>
  <c r="U451" i="6" s="1"/>
  <c r="N443" i="6"/>
  <c r="T443" i="6" s="1"/>
  <c r="U443" i="6" s="1"/>
  <c r="N435" i="6"/>
  <c r="T435" i="6" s="1"/>
  <c r="U435" i="6" s="1"/>
  <c r="N427" i="6"/>
  <c r="T427" i="6" s="1"/>
  <c r="U427" i="6" s="1"/>
  <c r="N419" i="6"/>
  <c r="T419" i="6" s="1"/>
  <c r="U419" i="6" s="1"/>
  <c r="N411" i="6"/>
  <c r="T411" i="6" s="1"/>
  <c r="U411" i="6" s="1"/>
  <c r="N403" i="6"/>
  <c r="T403" i="6" s="1"/>
  <c r="U403" i="6" s="1"/>
  <c r="N395" i="6"/>
  <c r="T395" i="6" s="1"/>
  <c r="U395" i="6" s="1"/>
  <c r="N387" i="6"/>
  <c r="T387" i="6" s="1"/>
  <c r="U387" i="6" s="1"/>
  <c r="N379" i="6"/>
  <c r="T379" i="6" s="1"/>
  <c r="U379" i="6" s="1"/>
  <c r="N371" i="6"/>
  <c r="T371" i="6" s="1"/>
  <c r="U371" i="6" s="1"/>
  <c r="N363" i="6"/>
  <c r="T363" i="6" s="1"/>
  <c r="U363" i="6" s="1"/>
  <c r="N355" i="6"/>
  <c r="T355" i="6" s="1"/>
  <c r="U355" i="6" s="1"/>
  <c r="N347" i="6"/>
  <c r="T347" i="6" s="1"/>
  <c r="U347" i="6" s="1"/>
  <c r="N339" i="6"/>
  <c r="T339" i="6" s="1"/>
  <c r="U339" i="6" s="1"/>
  <c r="N331" i="6"/>
  <c r="T331" i="6" s="1"/>
  <c r="U331" i="6" s="1"/>
  <c r="N323" i="6"/>
  <c r="T323" i="6" s="1"/>
  <c r="U323" i="6" s="1"/>
  <c r="N315" i="6"/>
  <c r="T315" i="6" s="1"/>
  <c r="U315" i="6" s="1"/>
  <c r="N307" i="6"/>
  <c r="T307" i="6" s="1"/>
  <c r="U307" i="6" s="1"/>
  <c r="N299" i="6"/>
  <c r="T299" i="6" s="1"/>
  <c r="U299" i="6" s="1"/>
  <c r="N283" i="6"/>
  <c r="T283" i="6" s="1"/>
  <c r="U283" i="6" s="1"/>
  <c r="N267" i="6"/>
  <c r="T267" i="6" s="1"/>
  <c r="U267" i="6" s="1"/>
  <c r="N251" i="6"/>
  <c r="T251" i="6" s="1"/>
  <c r="U251" i="6" s="1"/>
  <c r="N235" i="6"/>
  <c r="T235" i="6" s="1"/>
  <c r="U235" i="6" s="1"/>
  <c r="N216" i="6"/>
  <c r="T216" i="6" s="1"/>
  <c r="N194" i="6"/>
  <c r="T194" i="6" s="1"/>
  <c r="U194" i="6" s="1"/>
  <c r="N165" i="6"/>
  <c r="T165" i="6" s="1"/>
  <c r="U165" i="6" s="1"/>
  <c r="N133" i="6"/>
  <c r="T133" i="6" s="1"/>
  <c r="U133" i="6" s="1"/>
  <c r="N101" i="6"/>
  <c r="T101" i="6" s="1"/>
  <c r="N69" i="6"/>
  <c r="T69" i="6" s="1"/>
  <c r="U69" i="6" s="1"/>
  <c r="L227" i="6"/>
  <c r="Q227" i="6" s="1"/>
  <c r="N227" i="6"/>
  <c r="T227" i="6" s="1"/>
  <c r="N219" i="6"/>
  <c r="T219" i="6" s="1"/>
  <c r="L219" i="6"/>
  <c r="Q219" i="6" s="1"/>
  <c r="L211" i="6"/>
  <c r="Q211" i="6" s="1"/>
  <c r="N211" i="6"/>
  <c r="T211" i="6" s="1"/>
  <c r="L199" i="6"/>
  <c r="Q199" i="6" s="1"/>
  <c r="N199" i="6"/>
  <c r="T199" i="6" s="1"/>
  <c r="U199" i="6" s="1"/>
  <c r="N287" i="6"/>
  <c r="T287" i="6" s="1"/>
  <c r="U287" i="6" s="1"/>
  <c r="N255" i="6"/>
  <c r="T255" i="6" s="1"/>
  <c r="U255" i="6" s="1"/>
  <c r="L549" i="6"/>
  <c r="Q549" i="6" s="1"/>
  <c r="R549" i="6" s="1"/>
  <c r="N549" i="6"/>
  <c r="T549" i="6" s="1"/>
  <c r="U549" i="6" s="1"/>
  <c r="L545" i="6"/>
  <c r="Q545" i="6" s="1"/>
  <c r="R545" i="6" s="1"/>
  <c r="N545" i="6"/>
  <c r="T545" i="6" s="1"/>
  <c r="U545" i="6" s="1"/>
  <c r="L541" i="6"/>
  <c r="Q541" i="6" s="1"/>
  <c r="R541" i="6" s="1"/>
  <c r="N541" i="6"/>
  <c r="T541" i="6" s="1"/>
  <c r="U541" i="6" s="1"/>
  <c r="L537" i="6"/>
  <c r="Q537" i="6" s="1"/>
  <c r="R537" i="6" s="1"/>
  <c r="N537" i="6"/>
  <c r="T537" i="6" s="1"/>
  <c r="U537" i="6" s="1"/>
  <c r="L533" i="6"/>
  <c r="Q533" i="6" s="1"/>
  <c r="R533" i="6" s="1"/>
  <c r="N533" i="6"/>
  <c r="T533" i="6" s="1"/>
  <c r="U533" i="6" s="1"/>
  <c r="L529" i="6"/>
  <c r="Q529" i="6" s="1"/>
  <c r="R529" i="6" s="1"/>
  <c r="N529" i="6"/>
  <c r="T529" i="6" s="1"/>
  <c r="U529" i="6" s="1"/>
  <c r="L525" i="6"/>
  <c r="Q525" i="6" s="1"/>
  <c r="R525" i="6" s="1"/>
  <c r="N525" i="6"/>
  <c r="T525" i="6" s="1"/>
  <c r="U525" i="6" s="1"/>
  <c r="L521" i="6"/>
  <c r="Q521" i="6" s="1"/>
  <c r="R521" i="6" s="1"/>
  <c r="N521" i="6"/>
  <c r="T521" i="6" s="1"/>
  <c r="U521" i="6" s="1"/>
  <c r="L517" i="6"/>
  <c r="Q517" i="6" s="1"/>
  <c r="R517" i="6" s="1"/>
  <c r="N517" i="6"/>
  <c r="T517" i="6" s="1"/>
  <c r="U517" i="6" s="1"/>
  <c r="L513" i="6"/>
  <c r="Q513" i="6" s="1"/>
  <c r="R513" i="6" s="1"/>
  <c r="N513" i="6"/>
  <c r="T513" i="6" s="1"/>
  <c r="U513" i="6" s="1"/>
  <c r="L509" i="6"/>
  <c r="Q509" i="6" s="1"/>
  <c r="R509" i="6" s="1"/>
  <c r="N509" i="6"/>
  <c r="T509" i="6" s="1"/>
  <c r="U509" i="6" s="1"/>
  <c r="L505" i="6"/>
  <c r="Q505" i="6" s="1"/>
  <c r="R505" i="6" s="1"/>
  <c r="N505" i="6"/>
  <c r="T505" i="6" s="1"/>
  <c r="U505" i="6" s="1"/>
  <c r="L501" i="6"/>
  <c r="Q501" i="6" s="1"/>
  <c r="R501" i="6" s="1"/>
  <c r="N501" i="6"/>
  <c r="T501" i="6" s="1"/>
  <c r="U501" i="6" s="1"/>
  <c r="L497" i="6"/>
  <c r="Q497" i="6" s="1"/>
  <c r="R497" i="6" s="1"/>
  <c r="N497" i="6"/>
  <c r="T497" i="6" s="1"/>
  <c r="U497" i="6" s="1"/>
  <c r="L493" i="6"/>
  <c r="Q493" i="6" s="1"/>
  <c r="R493" i="6" s="1"/>
  <c r="N493" i="6"/>
  <c r="T493" i="6" s="1"/>
  <c r="U493" i="6" s="1"/>
  <c r="L489" i="6"/>
  <c r="Q489" i="6" s="1"/>
  <c r="R489" i="6" s="1"/>
  <c r="N489" i="6"/>
  <c r="T489" i="6" s="1"/>
  <c r="U489" i="6" s="1"/>
  <c r="L485" i="6"/>
  <c r="Q485" i="6" s="1"/>
  <c r="R485" i="6" s="1"/>
  <c r="N485" i="6"/>
  <c r="T485" i="6" s="1"/>
  <c r="U485" i="6" s="1"/>
  <c r="L481" i="6"/>
  <c r="Q481" i="6" s="1"/>
  <c r="R481" i="6" s="1"/>
  <c r="N481" i="6"/>
  <c r="T481" i="6" s="1"/>
  <c r="U481" i="6" s="1"/>
  <c r="L477" i="6"/>
  <c r="Q477" i="6" s="1"/>
  <c r="R477" i="6" s="1"/>
  <c r="N477" i="6"/>
  <c r="T477" i="6" s="1"/>
  <c r="U477" i="6" s="1"/>
  <c r="L473" i="6"/>
  <c r="Q473" i="6" s="1"/>
  <c r="R473" i="6" s="1"/>
  <c r="N473" i="6"/>
  <c r="T473" i="6" s="1"/>
  <c r="U473" i="6" s="1"/>
  <c r="L469" i="6"/>
  <c r="Q469" i="6" s="1"/>
  <c r="R469" i="6" s="1"/>
  <c r="N469" i="6"/>
  <c r="T469" i="6" s="1"/>
  <c r="U469" i="6" s="1"/>
  <c r="L465" i="6"/>
  <c r="Q465" i="6" s="1"/>
  <c r="R465" i="6" s="1"/>
  <c r="N465" i="6"/>
  <c r="T465" i="6" s="1"/>
  <c r="U465" i="6" s="1"/>
  <c r="L461" i="6"/>
  <c r="Q461" i="6" s="1"/>
  <c r="R461" i="6" s="1"/>
  <c r="N461" i="6"/>
  <c r="T461" i="6" s="1"/>
  <c r="U461" i="6" s="1"/>
  <c r="L457" i="6"/>
  <c r="Q457" i="6" s="1"/>
  <c r="R457" i="6" s="1"/>
  <c r="N457" i="6"/>
  <c r="T457" i="6" s="1"/>
  <c r="U457" i="6" s="1"/>
  <c r="L453" i="6"/>
  <c r="Q453" i="6" s="1"/>
  <c r="R453" i="6" s="1"/>
  <c r="N453" i="6"/>
  <c r="T453" i="6" s="1"/>
  <c r="U453" i="6" s="1"/>
  <c r="L449" i="6"/>
  <c r="Q449" i="6" s="1"/>
  <c r="R449" i="6" s="1"/>
  <c r="N449" i="6"/>
  <c r="T449" i="6" s="1"/>
  <c r="U449" i="6" s="1"/>
  <c r="L445" i="6"/>
  <c r="Q445" i="6" s="1"/>
  <c r="R445" i="6" s="1"/>
  <c r="N445" i="6"/>
  <c r="T445" i="6" s="1"/>
  <c r="U445" i="6" s="1"/>
  <c r="L441" i="6"/>
  <c r="Q441" i="6" s="1"/>
  <c r="R441" i="6" s="1"/>
  <c r="N441" i="6"/>
  <c r="T441" i="6" s="1"/>
  <c r="U441" i="6" s="1"/>
  <c r="L437" i="6"/>
  <c r="Q437" i="6" s="1"/>
  <c r="R437" i="6" s="1"/>
  <c r="N437" i="6"/>
  <c r="T437" i="6" s="1"/>
  <c r="U437" i="6" s="1"/>
  <c r="L433" i="6"/>
  <c r="Q433" i="6" s="1"/>
  <c r="R433" i="6" s="1"/>
  <c r="N433" i="6"/>
  <c r="T433" i="6" s="1"/>
  <c r="U433" i="6" s="1"/>
  <c r="L429" i="6"/>
  <c r="Q429" i="6" s="1"/>
  <c r="R429" i="6" s="1"/>
  <c r="N429" i="6"/>
  <c r="T429" i="6" s="1"/>
  <c r="U429" i="6" s="1"/>
  <c r="L425" i="6"/>
  <c r="Q425" i="6" s="1"/>
  <c r="R425" i="6" s="1"/>
  <c r="N425" i="6"/>
  <c r="T425" i="6" s="1"/>
  <c r="U425" i="6" s="1"/>
  <c r="L421" i="6"/>
  <c r="Q421" i="6" s="1"/>
  <c r="R421" i="6" s="1"/>
  <c r="N421" i="6"/>
  <c r="T421" i="6" s="1"/>
  <c r="U421" i="6" s="1"/>
  <c r="L417" i="6"/>
  <c r="Q417" i="6" s="1"/>
  <c r="R417" i="6" s="1"/>
  <c r="N417" i="6"/>
  <c r="T417" i="6" s="1"/>
  <c r="U417" i="6" s="1"/>
  <c r="L413" i="6"/>
  <c r="Q413" i="6" s="1"/>
  <c r="R413" i="6" s="1"/>
  <c r="N413" i="6"/>
  <c r="T413" i="6" s="1"/>
  <c r="U413" i="6" s="1"/>
  <c r="L409" i="6"/>
  <c r="Q409" i="6" s="1"/>
  <c r="R409" i="6" s="1"/>
  <c r="N409" i="6"/>
  <c r="T409" i="6" s="1"/>
  <c r="U409" i="6" s="1"/>
  <c r="L405" i="6"/>
  <c r="Q405" i="6" s="1"/>
  <c r="R405" i="6" s="1"/>
  <c r="N405" i="6"/>
  <c r="T405" i="6" s="1"/>
  <c r="U405" i="6" s="1"/>
  <c r="L401" i="6"/>
  <c r="Q401" i="6" s="1"/>
  <c r="R401" i="6" s="1"/>
  <c r="N401" i="6"/>
  <c r="T401" i="6" s="1"/>
  <c r="U401" i="6" s="1"/>
  <c r="L397" i="6"/>
  <c r="Q397" i="6" s="1"/>
  <c r="R397" i="6" s="1"/>
  <c r="N397" i="6"/>
  <c r="T397" i="6" s="1"/>
  <c r="U397" i="6" s="1"/>
  <c r="L393" i="6"/>
  <c r="Q393" i="6" s="1"/>
  <c r="R393" i="6" s="1"/>
  <c r="N393" i="6"/>
  <c r="T393" i="6" s="1"/>
  <c r="U393" i="6" s="1"/>
  <c r="L389" i="6"/>
  <c r="Q389" i="6" s="1"/>
  <c r="R389" i="6" s="1"/>
  <c r="N389" i="6"/>
  <c r="T389" i="6" s="1"/>
  <c r="U389" i="6" s="1"/>
  <c r="L385" i="6"/>
  <c r="Q385" i="6" s="1"/>
  <c r="R385" i="6" s="1"/>
  <c r="N385" i="6"/>
  <c r="T385" i="6" s="1"/>
  <c r="U385" i="6" s="1"/>
  <c r="L381" i="6"/>
  <c r="Q381" i="6" s="1"/>
  <c r="R381" i="6" s="1"/>
  <c r="N381" i="6"/>
  <c r="T381" i="6" s="1"/>
  <c r="U381" i="6" s="1"/>
  <c r="L377" i="6"/>
  <c r="Q377" i="6" s="1"/>
  <c r="R377" i="6" s="1"/>
  <c r="N377" i="6"/>
  <c r="T377" i="6" s="1"/>
  <c r="U377" i="6" s="1"/>
  <c r="L373" i="6"/>
  <c r="Q373" i="6" s="1"/>
  <c r="R373" i="6" s="1"/>
  <c r="N373" i="6"/>
  <c r="T373" i="6" s="1"/>
  <c r="U373" i="6" s="1"/>
  <c r="L369" i="6"/>
  <c r="Q369" i="6" s="1"/>
  <c r="R369" i="6" s="1"/>
  <c r="N369" i="6"/>
  <c r="T369" i="6" s="1"/>
  <c r="U369" i="6" s="1"/>
  <c r="L365" i="6"/>
  <c r="Q365" i="6" s="1"/>
  <c r="R365" i="6" s="1"/>
  <c r="N365" i="6"/>
  <c r="T365" i="6" s="1"/>
  <c r="U365" i="6" s="1"/>
  <c r="L361" i="6"/>
  <c r="Q361" i="6" s="1"/>
  <c r="R361" i="6" s="1"/>
  <c r="N361" i="6"/>
  <c r="T361" i="6" s="1"/>
  <c r="U361" i="6" s="1"/>
  <c r="L357" i="6"/>
  <c r="Q357" i="6" s="1"/>
  <c r="R357" i="6" s="1"/>
  <c r="N357" i="6"/>
  <c r="T357" i="6" s="1"/>
  <c r="U357" i="6" s="1"/>
  <c r="L353" i="6"/>
  <c r="Q353" i="6" s="1"/>
  <c r="R353" i="6" s="1"/>
  <c r="N353" i="6"/>
  <c r="T353" i="6" s="1"/>
  <c r="U353" i="6" s="1"/>
  <c r="L349" i="6"/>
  <c r="Q349" i="6" s="1"/>
  <c r="R349" i="6" s="1"/>
  <c r="N349" i="6"/>
  <c r="T349" i="6" s="1"/>
  <c r="U349" i="6" s="1"/>
  <c r="L345" i="6"/>
  <c r="Q345" i="6" s="1"/>
  <c r="R345" i="6" s="1"/>
  <c r="N345" i="6"/>
  <c r="T345" i="6" s="1"/>
  <c r="U345" i="6" s="1"/>
  <c r="L341" i="6"/>
  <c r="Q341" i="6" s="1"/>
  <c r="R341" i="6" s="1"/>
  <c r="N341" i="6"/>
  <c r="T341" i="6" s="1"/>
  <c r="U341" i="6" s="1"/>
  <c r="L337" i="6"/>
  <c r="Q337" i="6" s="1"/>
  <c r="R337" i="6" s="1"/>
  <c r="N337" i="6"/>
  <c r="T337" i="6" s="1"/>
  <c r="U337" i="6" s="1"/>
  <c r="L333" i="6"/>
  <c r="Q333" i="6" s="1"/>
  <c r="R333" i="6" s="1"/>
  <c r="N333" i="6"/>
  <c r="T333" i="6" s="1"/>
  <c r="U333" i="6" s="1"/>
  <c r="L329" i="6"/>
  <c r="Q329" i="6" s="1"/>
  <c r="R329" i="6" s="1"/>
  <c r="N329" i="6"/>
  <c r="T329" i="6" s="1"/>
  <c r="U329" i="6" s="1"/>
  <c r="L325" i="6"/>
  <c r="Q325" i="6" s="1"/>
  <c r="R325" i="6" s="1"/>
  <c r="N325" i="6"/>
  <c r="T325" i="6" s="1"/>
  <c r="U325" i="6" s="1"/>
  <c r="L321" i="6"/>
  <c r="Q321" i="6" s="1"/>
  <c r="R321" i="6" s="1"/>
  <c r="N321" i="6"/>
  <c r="T321" i="6" s="1"/>
  <c r="U321" i="6" s="1"/>
  <c r="L317" i="6"/>
  <c r="Q317" i="6" s="1"/>
  <c r="R317" i="6" s="1"/>
  <c r="N317" i="6"/>
  <c r="T317" i="6" s="1"/>
  <c r="U317" i="6" s="1"/>
  <c r="L313" i="6"/>
  <c r="Q313" i="6" s="1"/>
  <c r="R313" i="6" s="1"/>
  <c r="N313" i="6"/>
  <c r="T313" i="6" s="1"/>
  <c r="U313" i="6" s="1"/>
  <c r="L309" i="6"/>
  <c r="Q309" i="6" s="1"/>
  <c r="R309" i="6" s="1"/>
  <c r="N309" i="6"/>
  <c r="T309" i="6" s="1"/>
  <c r="U309" i="6" s="1"/>
  <c r="L305" i="6"/>
  <c r="Q305" i="6" s="1"/>
  <c r="R305" i="6" s="1"/>
  <c r="N305" i="6"/>
  <c r="T305" i="6" s="1"/>
  <c r="U305" i="6" s="1"/>
  <c r="L301" i="6"/>
  <c r="Q301" i="6" s="1"/>
  <c r="R301" i="6" s="1"/>
  <c r="N301" i="6"/>
  <c r="T301" i="6" s="1"/>
  <c r="U301" i="6" s="1"/>
  <c r="L297" i="6"/>
  <c r="Q297" i="6" s="1"/>
  <c r="R297" i="6" s="1"/>
  <c r="N297" i="6"/>
  <c r="T297" i="6" s="1"/>
  <c r="U297" i="6" s="1"/>
  <c r="L293" i="6"/>
  <c r="Q293" i="6" s="1"/>
  <c r="R293" i="6" s="1"/>
  <c r="N293" i="6"/>
  <c r="T293" i="6" s="1"/>
  <c r="U293" i="6" s="1"/>
  <c r="L289" i="6"/>
  <c r="Q289" i="6" s="1"/>
  <c r="R289" i="6" s="1"/>
  <c r="N289" i="6"/>
  <c r="T289" i="6" s="1"/>
  <c r="U289" i="6" s="1"/>
  <c r="L285" i="6"/>
  <c r="Q285" i="6" s="1"/>
  <c r="R285" i="6" s="1"/>
  <c r="N285" i="6"/>
  <c r="T285" i="6" s="1"/>
  <c r="U285" i="6" s="1"/>
  <c r="L281" i="6"/>
  <c r="Q281" i="6" s="1"/>
  <c r="R281" i="6" s="1"/>
  <c r="N281" i="6"/>
  <c r="T281" i="6" s="1"/>
  <c r="U281" i="6" s="1"/>
  <c r="L277" i="6"/>
  <c r="Q277" i="6" s="1"/>
  <c r="R277" i="6" s="1"/>
  <c r="N277" i="6"/>
  <c r="T277" i="6" s="1"/>
  <c r="U277" i="6" s="1"/>
  <c r="L273" i="6"/>
  <c r="Q273" i="6" s="1"/>
  <c r="R273" i="6" s="1"/>
  <c r="N273" i="6"/>
  <c r="T273" i="6" s="1"/>
  <c r="U273" i="6" s="1"/>
  <c r="L269" i="6"/>
  <c r="Q269" i="6" s="1"/>
  <c r="R269" i="6" s="1"/>
  <c r="N269" i="6"/>
  <c r="T269" i="6" s="1"/>
  <c r="U269" i="6" s="1"/>
  <c r="L265" i="6"/>
  <c r="Q265" i="6" s="1"/>
  <c r="R265" i="6" s="1"/>
  <c r="N265" i="6"/>
  <c r="T265" i="6" s="1"/>
  <c r="U265" i="6" s="1"/>
  <c r="L261" i="6"/>
  <c r="Q261" i="6" s="1"/>
  <c r="R261" i="6" s="1"/>
  <c r="N261" i="6"/>
  <c r="T261" i="6" s="1"/>
  <c r="U261" i="6" s="1"/>
  <c r="L257" i="6"/>
  <c r="Q257" i="6" s="1"/>
  <c r="N257" i="6"/>
  <c r="T257" i="6" s="1"/>
  <c r="U257" i="6" s="1"/>
  <c r="L253" i="6"/>
  <c r="Q253" i="6" s="1"/>
  <c r="N253" i="6"/>
  <c r="T253" i="6" s="1"/>
  <c r="U253" i="6" s="1"/>
  <c r="L249" i="6"/>
  <c r="Q249" i="6" s="1"/>
  <c r="N249" i="6"/>
  <c r="T249" i="6" s="1"/>
  <c r="U249" i="6" s="1"/>
  <c r="L245" i="6"/>
  <c r="Q245" i="6" s="1"/>
  <c r="N245" i="6"/>
  <c r="T245" i="6" s="1"/>
  <c r="U245" i="6" s="1"/>
  <c r="L241" i="6"/>
  <c r="Q241" i="6" s="1"/>
  <c r="N241" i="6"/>
  <c r="T241" i="6" s="1"/>
  <c r="U241" i="6" s="1"/>
  <c r="L237" i="6"/>
  <c r="Q237" i="6" s="1"/>
  <c r="N237" i="6"/>
  <c r="T237" i="6" s="1"/>
  <c r="U237" i="6" s="1"/>
  <c r="L233" i="6"/>
  <c r="Q233" i="6" s="1"/>
  <c r="N233" i="6"/>
  <c r="T233" i="6" s="1"/>
  <c r="L229" i="6"/>
  <c r="Q229" i="6" s="1"/>
  <c r="N229" i="6"/>
  <c r="T229" i="6" s="1"/>
  <c r="L225" i="6"/>
  <c r="Q225" i="6" s="1"/>
  <c r="N225" i="6"/>
  <c r="T225" i="6" s="1"/>
  <c r="L217" i="6"/>
  <c r="Q217" i="6" s="1"/>
  <c r="N217" i="6"/>
  <c r="T217" i="6" s="1"/>
  <c r="L213" i="6"/>
  <c r="Q213" i="6" s="1"/>
  <c r="N213" i="6"/>
  <c r="T213" i="6" s="1"/>
  <c r="L209" i="6"/>
  <c r="Q209" i="6" s="1"/>
  <c r="N209" i="6"/>
  <c r="T209" i="6" s="1"/>
  <c r="L201" i="6"/>
  <c r="Q201" i="6" s="1"/>
  <c r="N201" i="6"/>
  <c r="T201" i="6" s="1"/>
  <c r="U201" i="6" s="1"/>
  <c r="L197" i="6"/>
  <c r="Q197" i="6" s="1"/>
  <c r="N197" i="6"/>
  <c r="T197" i="6" s="1"/>
  <c r="U197" i="6" s="1"/>
  <c r="L193" i="6"/>
  <c r="Q193" i="6" s="1"/>
  <c r="N193" i="6"/>
  <c r="T193" i="6" s="1"/>
  <c r="U193" i="6" s="1"/>
  <c r="L185" i="6"/>
  <c r="Q185" i="6" s="1"/>
  <c r="N185" i="6"/>
  <c r="T185" i="6" s="1"/>
  <c r="U185" i="6" s="1"/>
  <c r="L177" i="6"/>
  <c r="Q177" i="6" s="1"/>
  <c r="R177" i="6" s="1"/>
  <c r="N177" i="6"/>
  <c r="T177" i="6" s="1"/>
  <c r="U177" i="6" s="1"/>
  <c r="L169" i="6"/>
  <c r="Q169" i="6" s="1"/>
  <c r="R169" i="6" s="1"/>
  <c r="N169" i="6"/>
  <c r="T169" i="6" s="1"/>
  <c r="U169" i="6" s="1"/>
  <c r="L161" i="6"/>
  <c r="Q161" i="6" s="1"/>
  <c r="R161" i="6" s="1"/>
  <c r="N161" i="6"/>
  <c r="T161" i="6" s="1"/>
  <c r="U161" i="6" s="1"/>
  <c r="L153" i="6"/>
  <c r="Q153" i="6" s="1"/>
  <c r="R153" i="6" s="1"/>
  <c r="N153" i="6"/>
  <c r="T153" i="6" s="1"/>
  <c r="U153" i="6" s="1"/>
  <c r="L145" i="6"/>
  <c r="Q145" i="6" s="1"/>
  <c r="R145" i="6" s="1"/>
  <c r="N145" i="6"/>
  <c r="T145" i="6" s="1"/>
  <c r="U145" i="6" s="1"/>
  <c r="L137" i="6"/>
  <c r="Q137" i="6" s="1"/>
  <c r="R137" i="6" s="1"/>
  <c r="N137" i="6"/>
  <c r="T137" i="6" s="1"/>
  <c r="U137" i="6" s="1"/>
  <c r="L129" i="6"/>
  <c r="Q129" i="6" s="1"/>
  <c r="R129" i="6" s="1"/>
  <c r="N129" i="6"/>
  <c r="T129" i="6" s="1"/>
  <c r="U129" i="6" s="1"/>
  <c r="L121" i="6"/>
  <c r="Q121" i="6" s="1"/>
  <c r="R121" i="6" s="1"/>
  <c r="N121" i="6"/>
  <c r="T121" i="6" s="1"/>
  <c r="U121" i="6" s="1"/>
  <c r="L113" i="6"/>
  <c r="Q113" i="6" s="1"/>
  <c r="R113" i="6" s="1"/>
  <c r="N113" i="6"/>
  <c r="T113" i="6" s="1"/>
  <c r="U113" i="6" s="1"/>
  <c r="L105" i="6"/>
  <c r="Q105" i="6" s="1"/>
  <c r="R105" i="6" s="1"/>
  <c r="N105" i="6"/>
  <c r="T105" i="6" s="1"/>
  <c r="U105" i="6" s="1"/>
  <c r="L97" i="6"/>
  <c r="Q97" i="6" s="1"/>
  <c r="N97" i="6"/>
  <c r="T97" i="6" s="1"/>
  <c r="L89" i="6"/>
  <c r="Q89" i="6" s="1"/>
  <c r="N89" i="6"/>
  <c r="T89" i="6" s="1"/>
  <c r="L81" i="6"/>
  <c r="Q81" i="6" s="1"/>
  <c r="N81" i="6"/>
  <c r="T81" i="6" s="1"/>
  <c r="L73" i="6"/>
  <c r="Q73" i="6" s="1"/>
  <c r="R73" i="6" s="1"/>
  <c r="N73" i="6"/>
  <c r="T73" i="6" s="1"/>
  <c r="U73" i="6" s="1"/>
  <c r="L65" i="6"/>
  <c r="Q65" i="6" s="1"/>
  <c r="R65" i="6" s="1"/>
  <c r="N65" i="6"/>
  <c r="T65" i="6" s="1"/>
  <c r="U65" i="6" s="1"/>
  <c r="L57" i="6"/>
  <c r="Q57" i="6" s="1"/>
  <c r="R57" i="6" s="1"/>
  <c r="N57" i="6"/>
  <c r="T57" i="6" s="1"/>
  <c r="U57" i="6" s="1"/>
  <c r="L49" i="6"/>
  <c r="Q49" i="6" s="1"/>
  <c r="R49" i="6" s="1"/>
  <c r="N49" i="6"/>
  <c r="T49" i="6" s="1"/>
  <c r="U49" i="6" s="1"/>
  <c r="L41" i="6"/>
  <c r="Q41" i="6" s="1"/>
  <c r="R41" i="6" s="1"/>
  <c r="N41" i="6"/>
  <c r="T41" i="6" s="1"/>
  <c r="U41" i="6" s="1"/>
  <c r="L33" i="6"/>
  <c r="Q33" i="6" s="1"/>
  <c r="R33" i="6" s="1"/>
  <c r="N33" i="6"/>
  <c r="T33" i="6" s="1"/>
  <c r="U33" i="6" s="1"/>
  <c r="L25" i="6"/>
  <c r="Q25" i="6" s="1"/>
  <c r="R25" i="6" s="1"/>
  <c r="N25" i="6"/>
  <c r="T25" i="6" s="1"/>
  <c r="U25" i="6" s="1"/>
  <c r="L17" i="6"/>
  <c r="Q17" i="6" s="1"/>
  <c r="N17" i="6"/>
  <c r="T17" i="6" s="1"/>
  <c r="U17" i="6" s="1"/>
  <c r="L9" i="6"/>
  <c r="Q9" i="6" s="1"/>
  <c r="N9" i="6"/>
  <c r="T9" i="6" s="1"/>
  <c r="U9" i="6" s="1"/>
  <c r="N554" i="6"/>
  <c r="T554" i="6" s="1"/>
  <c r="U554" i="6" s="1"/>
  <c r="N546" i="6"/>
  <c r="T546" i="6" s="1"/>
  <c r="U546" i="6" s="1"/>
  <c r="N538" i="6"/>
  <c r="T538" i="6" s="1"/>
  <c r="U538" i="6" s="1"/>
  <c r="N530" i="6"/>
  <c r="T530" i="6" s="1"/>
  <c r="U530" i="6" s="1"/>
  <c r="N522" i="6"/>
  <c r="T522" i="6" s="1"/>
  <c r="U522" i="6" s="1"/>
  <c r="N514" i="6"/>
  <c r="T514" i="6" s="1"/>
  <c r="U514" i="6" s="1"/>
  <c r="N506" i="6"/>
  <c r="T506" i="6" s="1"/>
  <c r="U506" i="6" s="1"/>
  <c r="N498" i="6"/>
  <c r="T498" i="6" s="1"/>
  <c r="U498" i="6" s="1"/>
  <c r="N490" i="6"/>
  <c r="T490" i="6" s="1"/>
  <c r="U490" i="6" s="1"/>
  <c r="N482" i="6"/>
  <c r="T482" i="6" s="1"/>
  <c r="U482" i="6" s="1"/>
  <c r="N474" i="6"/>
  <c r="T474" i="6" s="1"/>
  <c r="U474" i="6" s="1"/>
  <c r="N466" i="6"/>
  <c r="T466" i="6" s="1"/>
  <c r="U466" i="6" s="1"/>
  <c r="N458" i="6"/>
  <c r="T458" i="6" s="1"/>
  <c r="U458" i="6" s="1"/>
  <c r="N450" i="6"/>
  <c r="T450" i="6" s="1"/>
  <c r="U450" i="6" s="1"/>
  <c r="N442" i="6"/>
  <c r="T442" i="6" s="1"/>
  <c r="U442" i="6" s="1"/>
  <c r="N434" i="6"/>
  <c r="T434" i="6" s="1"/>
  <c r="U434" i="6" s="1"/>
  <c r="N426" i="6"/>
  <c r="T426" i="6" s="1"/>
  <c r="U426" i="6" s="1"/>
  <c r="N418" i="6"/>
  <c r="T418" i="6" s="1"/>
  <c r="U418" i="6" s="1"/>
  <c r="N410" i="6"/>
  <c r="T410" i="6" s="1"/>
  <c r="U410" i="6" s="1"/>
  <c r="N402" i="6"/>
  <c r="T402" i="6" s="1"/>
  <c r="U402" i="6" s="1"/>
  <c r="N394" i="6"/>
  <c r="T394" i="6" s="1"/>
  <c r="U394" i="6" s="1"/>
  <c r="N386" i="6"/>
  <c r="T386" i="6" s="1"/>
  <c r="U386" i="6" s="1"/>
  <c r="N378" i="6"/>
  <c r="T378" i="6" s="1"/>
  <c r="U378" i="6" s="1"/>
  <c r="N370" i="6"/>
  <c r="T370" i="6" s="1"/>
  <c r="U370" i="6" s="1"/>
  <c r="N362" i="6"/>
  <c r="T362" i="6" s="1"/>
  <c r="U362" i="6" s="1"/>
  <c r="N354" i="6"/>
  <c r="T354" i="6" s="1"/>
  <c r="U354" i="6" s="1"/>
  <c r="N346" i="6"/>
  <c r="T346" i="6" s="1"/>
  <c r="U346" i="6" s="1"/>
  <c r="N338" i="6"/>
  <c r="T338" i="6" s="1"/>
  <c r="U338" i="6" s="1"/>
  <c r="N330" i="6"/>
  <c r="T330" i="6" s="1"/>
  <c r="U330" i="6" s="1"/>
  <c r="N322" i="6"/>
  <c r="T322" i="6" s="1"/>
  <c r="U322" i="6" s="1"/>
  <c r="N314" i="6"/>
  <c r="T314" i="6" s="1"/>
  <c r="U314" i="6" s="1"/>
  <c r="N306" i="6"/>
  <c r="T306" i="6" s="1"/>
  <c r="U306" i="6" s="1"/>
  <c r="N295" i="6"/>
  <c r="T295" i="6" s="1"/>
  <c r="U295" i="6" s="1"/>
  <c r="N279" i="6"/>
  <c r="T279" i="6" s="1"/>
  <c r="U279" i="6" s="1"/>
  <c r="N263" i="6"/>
  <c r="T263" i="6" s="1"/>
  <c r="U263" i="6" s="1"/>
  <c r="N247" i="6"/>
  <c r="T247" i="6" s="1"/>
  <c r="U247" i="6" s="1"/>
  <c r="N231" i="6"/>
  <c r="T231" i="6" s="1"/>
  <c r="N210" i="6"/>
  <c r="T210" i="6" s="1"/>
  <c r="N189" i="6"/>
  <c r="T189" i="6" s="1"/>
  <c r="U189" i="6" s="1"/>
  <c r="N157" i="6"/>
  <c r="T157" i="6" s="1"/>
  <c r="U157" i="6" s="1"/>
  <c r="N125" i="6"/>
  <c r="T125" i="6" s="1"/>
  <c r="U125" i="6" s="1"/>
  <c r="N93" i="6"/>
  <c r="T93" i="6" s="1"/>
  <c r="N61" i="6"/>
  <c r="T61" i="6" s="1"/>
  <c r="U61" i="6" s="1"/>
  <c r="N37" i="6"/>
  <c r="T37" i="6" s="1"/>
  <c r="U37" i="6" s="1"/>
  <c r="N21" i="6"/>
  <c r="T21" i="6" s="1"/>
  <c r="U21" i="6" s="1"/>
  <c r="L223" i="6"/>
  <c r="Q223" i="6" s="1"/>
  <c r="N223" i="6"/>
  <c r="T223" i="6" s="1"/>
  <c r="L207" i="6"/>
  <c r="Q207" i="6" s="1"/>
  <c r="N207" i="6"/>
  <c r="T207" i="6" s="1"/>
  <c r="L195" i="6"/>
  <c r="Q195" i="6" s="1"/>
  <c r="N195" i="6"/>
  <c r="T195" i="6" s="1"/>
  <c r="U195" i="6" s="1"/>
  <c r="N271" i="6"/>
  <c r="T271" i="6" s="1"/>
  <c r="U271" i="6" s="1"/>
  <c r="N239" i="6"/>
  <c r="T239" i="6" s="1"/>
  <c r="U239" i="6" s="1"/>
  <c r="L557" i="6"/>
  <c r="Q557" i="6" s="1"/>
  <c r="R557" i="6" s="1"/>
  <c r="N557" i="6"/>
  <c r="T557" i="6" s="1"/>
  <c r="U557" i="6" s="1"/>
  <c r="L553" i="6"/>
  <c r="Q553" i="6" s="1"/>
  <c r="R553" i="6" s="1"/>
  <c r="N553" i="6"/>
  <c r="T553" i="6" s="1"/>
  <c r="U553" i="6" s="1"/>
  <c r="L552" i="6"/>
  <c r="Q552" i="6" s="1"/>
  <c r="R552" i="6" s="1"/>
  <c r="N552" i="6"/>
  <c r="T552" i="6" s="1"/>
  <c r="U552" i="6" s="1"/>
  <c r="L548" i="6"/>
  <c r="Q548" i="6" s="1"/>
  <c r="R548" i="6" s="1"/>
  <c r="N548" i="6"/>
  <c r="T548" i="6" s="1"/>
  <c r="U548" i="6" s="1"/>
  <c r="L544" i="6"/>
  <c r="Q544" i="6" s="1"/>
  <c r="R544" i="6" s="1"/>
  <c r="N544" i="6"/>
  <c r="T544" i="6" s="1"/>
  <c r="U544" i="6" s="1"/>
  <c r="L540" i="6"/>
  <c r="Q540" i="6" s="1"/>
  <c r="R540" i="6" s="1"/>
  <c r="N540" i="6"/>
  <c r="T540" i="6" s="1"/>
  <c r="U540" i="6" s="1"/>
  <c r="L536" i="6"/>
  <c r="Q536" i="6" s="1"/>
  <c r="R536" i="6" s="1"/>
  <c r="N536" i="6"/>
  <c r="T536" i="6" s="1"/>
  <c r="U536" i="6" s="1"/>
  <c r="L532" i="6"/>
  <c r="Q532" i="6" s="1"/>
  <c r="R532" i="6" s="1"/>
  <c r="N532" i="6"/>
  <c r="T532" i="6" s="1"/>
  <c r="U532" i="6" s="1"/>
  <c r="L528" i="6"/>
  <c r="Q528" i="6" s="1"/>
  <c r="R528" i="6" s="1"/>
  <c r="N528" i="6"/>
  <c r="T528" i="6" s="1"/>
  <c r="U528" i="6" s="1"/>
  <c r="L524" i="6"/>
  <c r="Q524" i="6" s="1"/>
  <c r="R524" i="6" s="1"/>
  <c r="N524" i="6"/>
  <c r="T524" i="6" s="1"/>
  <c r="U524" i="6" s="1"/>
  <c r="L520" i="6"/>
  <c r="Q520" i="6" s="1"/>
  <c r="R520" i="6" s="1"/>
  <c r="N520" i="6"/>
  <c r="T520" i="6" s="1"/>
  <c r="U520" i="6" s="1"/>
  <c r="L516" i="6"/>
  <c r="Q516" i="6" s="1"/>
  <c r="R516" i="6" s="1"/>
  <c r="N516" i="6"/>
  <c r="T516" i="6" s="1"/>
  <c r="U516" i="6" s="1"/>
  <c r="L512" i="6"/>
  <c r="Q512" i="6" s="1"/>
  <c r="R512" i="6" s="1"/>
  <c r="N512" i="6"/>
  <c r="T512" i="6" s="1"/>
  <c r="U512" i="6" s="1"/>
  <c r="L508" i="6"/>
  <c r="Q508" i="6" s="1"/>
  <c r="R508" i="6" s="1"/>
  <c r="N508" i="6"/>
  <c r="T508" i="6" s="1"/>
  <c r="U508" i="6" s="1"/>
  <c r="L504" i="6"/>
  <c r="Q504" i="6" s="1"/>
  <c r="R504" i="6" s="1"/>
  <c r="N504" i="6"/>
  <c r="T504" i="6" s="1"/>
  <c r="U504" i="6" s="1"/>
  <c r="L500" i="6"/>
  <c r="Q500" i="6" s="1"/>
  <c r="R500" i="6" s="1"/>
  <c r="N500" i="6"/>
  <c r="T500" i="6" s="1"/>
  <c r="U500" i="6" s="1"/>
  <c r="L496" i="6"/>
  <c r="Q496" i="6" s="1"/>
  <c r="R496" i="6" s="1"/>
  <c r="N496" i="6"/>
  <c r="T496" i="6" s="1"/>
  <c r="U496" i="6" s="1"/>
  <c r="L492" i="6"/>
  <c r="Q492" i="6" s="1"/>
  <c r="R492" i="6" s="1"/>
  <c r="N492" i="6"/>
  <c r="T492" i="6" s="1"/>
  <c r="U492" i="6" s="1"/>
  <c r="L488" i="6"/>
  <c r="Q488" i="6" s="1"/>
  <c r="R488" i="6" s="1"/>
  <c r="N488" i="6"/>
  <c r="T488" i="6" s="1"/>
  <c r="U488" i="6" s="1"/>
  <c r="L484" i="6"/>
  <c r="Q484" i="6" s="1"/>
  <c r="R484" i="6" s="1"/>
  <c r="N484" i="6"/>
  <c r="T484" i="6" s="1"/>
  <c r="U484" i="6" s="1"/>
  <c r="L480" i="6"/>
  <c r="Q480" i="6" s="1"/>
  <c r="R480" i="6" s="1"/>
  <c r="N480" i="6"/>
  <c r="T480" i="6" s="1"/>
  <c r="U480" i="6" s="1"/>
  <c r="L476" i="6"/>
  <c r="Q476" i="6" s="1"/>
  <c r="R476" i="6" s="1"/>
  <c r="N476" i="6"/>
  <c r="T476" i="6" s="1"/>
  <c r="U476" i="6" s="1"/>
  <c r="L472" i="6"/>
  <c r="Q472" i="6" s="1"/>
  <c r="R472" i="6" s="1"/>
  <c r="N472" i="6"/>
  <c r="T472" i="6" s="1"/>
  <c r="U472" i="6" s="1"/>
  <c r="L468" i="6"/>
  <c r="Q468" i="6" s="1"/>
  <c r="R468" i="6" s="1"/>
  <c r="N468" i="6"/>
  <c r="T468" i="6" s="1"/>
  <c r="U468" i="6" s="1"/>
  <c r="L464" i="6"/>
  <c r="Q464" i="6" s="1"/>
  <c r="R464" i="6" s="1"/>
  <c r="N464" i="6"/>
  <c r="T464" i="6" s="1"/>
  <c r="U464" i="6" s="1"/>
  <c r="L460" i="6"/>
  <c r="Q460" i="6" s="1"/>
  <c r="R460" i="6" s="1"/>
  <c r="N460" i="6"/>
  <c r="T460" i="6" s="1"/>
  <c r="U460" i="6" s="1"/>
  <c r="L456" i="6"/>
  <c r="Q456" i="6" s="1"/>
  <c r="R456" i="6" s="1"/>
  <c r="N456" i="6"/>
  <c r="T456" i="6" s="1"/>
  <c r="U456" i="6" s="1"/>
  <c r="L452" i="6"/>
  <c r="Q452" i="6" s="1"/>
  <c r="R452" i="6" s="1"/>
  <c r="N452" i="6"/>
  <c r="T452" i="6" s="1"/>
  <c r="U452" i="6" s="1"/>
  <c r="L448" i="6"/>
  <c r="Q448" i="6" s="1"/>
  <c r="R448" i="6" s="1"/>
  <c r="N448" i="6"/>
  <c r="T448" i="6" s="1"/>
  <c r="U448" i="6" s="1"/>
  <c r="L444" i="6"/>
  <c r="Q444" i="6" s="1"/>
  <c r="R444" i="6" s="1"/>
  <c r="N444" i="6"/>
  <c r="T444" i="6" s="1"/>
  <c r="U444" i="6" s="1"/>
  <c r="L440" i="6"/>
  <c r="Q440" i="6" s="1"/>
  <c r="R440" i="6" s="1"/>
  <c r="N440" i="6"/>
  <c r="T440" i="6" s="1"/>
  <c r="U440" i="6" s="1"/>
  <c r="L436" i="6"/>
  <c r="Q436" i="6" s="1"/>
  <c r="R436" i="6" s="1"/>
  <c r="N436" i="6"/>
  <c r="T436" i="6" s="1"/>
  <c r="U436" i="6" s="1"/>
  <c r="L432" i="6"/>
  <c r="Q432" i="6" s="1"/>
  <c r="R432" i="6" s="1"/>
  <c r="N432" i="6"/>
  <c r="T432" i="6" s="1"/>
  <c r="U432" i="6" s="1"/>
  <c r="L428" i="6"/>
  <c r="Q428" i="6" s="1"/>
  <c r="R428" i="6" s="1"/>
  <c r="N428" i="6"/>
  <c r="T428" i="6" s="1"/>
  <c r="U428" i="6" s="1"/>
  <c r="L424" i="6"/>
  <c r="Q424" i="6" s="1"/>
  <c r="R424" i="6" s="1"/>
  <c r="N424" i="6"/>
  <c r="T424" i="6" s="1"/>
  <c r="U424" i="6" s="1"/>
  <c r="L420" i="6"/>
  <c r="Q420" i="6" s="1"/>
  <c r="R420" i="6" s="1"/>
  <c r="N420" i="6"/>
  <c r="T420" i="6" s="1"/>
  <c r="U420" i="6" s="1"/>
  <c r="L416" i="6"/>
  <c r="Q416" i="6" s="1"/>
  <c r="R416" i="6" s="1"/>
  <c r="N416" i="6"/>
  <c r="T416" i="6" s="1"/>
  <c r="U416" i="6" s="1"/>
  <c r="L412" i="6"/>
  <c r="Q412" i="6" s="1"/>
  <c r="R412" i="6" s="1"/>
  <c r="N412" i="6"/>
  <c r="T412" i="6" s="1"/>
  <c r="U412" i="6" s="1"/>
  <c r="L408" i="6"/>
  <c r="Q408" i="6" s="1"/>
  <c r="R408" i="6" s="1"/>
  <c r="N408" i="6"/>
  <c r="T408" i="6" s="1"/>
  <c r="U408" i="6" s="1"/>
  <c r="L404" i="6"/>
  <c r="Q404" i="6" s="1"/>
  <c r="R404" i="6" s="1"/>
  <c r="N404" i="6"/>
  <c r="T404" i="6" s="1"/>
  <c r="U404" i="6" s="1"/>
  <c r="L400" i="6"/>
  <c r="Q400" i="6" s="1"/>
  <c r="R400" i="6" s="1"/>
  <c r="N400" i="6"/>
  <c r="T400" i="6" s="1"/>
  <c r="U400" i="6" s="1"/>
  <c r="L396" i="6"/>
  <c r="Q396" i="6" s="1"/>
  <c r="R396" i="6" s="1"/>
  <c r="N396" i="6"/>
  <c r="T396" i="6" s="1"/>
  <c r="U396" i="6" s="1"/>
  <c r="L392" i="6"/>
  <c r="Q392" i="6" s="1"/>
  <c r="R392" i="6" s="1"/>
  <c r="N392" i="6"/>
  <c r="T392" i="6" s="1"/>
  <c r="U392" i="6" s="1"/>
  <c r="L388" i="6"/>
  <c r="Q388" i="6" s="1"/>
  <c r="R388" i="6" s="1"/>
  <c r="N388" i="6"/>
  <c r="T388" i="6" s="1"/>
  <c r="U388" i="6" s="1"/>
  <c r="L384" i="6"/>
  <c r="Q384" i="6" s="1"/>
  <c r="R384" i="6" s="1"/>
  <c r="N384" i="6"/>
  <c r="T384" i="6" s="1"/>
  <c r="U384" i="6" s="1"/>
  <c r="L380" i="6"/>
  <c r="Q380" i="6" s="1"/>
  <c r="R380" i="6" s="1"/>
  <c r="N380" i="6"/>
  <c r="T380" i="6" s="1"/>
  <c r="U380" i="6" s="1"/>
  <c r="L376" i="6"/>
  <c r="Q376" i="6" s="1"/>
  <c r="R376" i="6" s="1"/>
  <c r="N376" i="6"/>
  <c r="T376" i="6" s="1"/>
  <c r="U376" i="6" s="1"/>
  <c r="L372" i="6"/>
  <c r="Q372" i="6" s="1"/>
  <c r="R372" i="6" s="1"/>
  <c r="N372" i="6"/>
  <c r="T372" i="6" s="1"/>
  <c r="U372" i="6" s="1"/>
  <c r="L368" i="6"/>
  <c r="Q368" i="6" s="1"/>
  <c r="R368" i="6" s="1"/>
  <c r="N368" i="6"/>
  <c r="T368" i="6" s="1"/>
  <c r="U368" i="6" s="1"/>
  <c r="L364" i="6"/>
  <c r="Q364" i="6" s="1"/>
  <c r="R364" i="6" s="1"/>
  <c r="N364" i="6"/>
  <c r="T364" i="6" s="1"/>
  <c r="U364" i="6" s="1"/>
  <c r="L360" i="6"/>
  <c r="Q360" i="6" s="1"/>
  <c r="R360" i="6" s="1"/>
  <c r="N360" i="6"/>
  <c r="T360" i="6" s="1"/>
  <c r="U360" i="6" s="1"/>
  <c r="L356" i="6"/>
  <c r="Q356" i="6" s="1"/>
  <c r="R356" i="6" s="1"/>
  <c r="N356" i="6"/>
  <c r="T356" i="6" s="1"/>
  <c r="U356" i="6" s="1"/>
  <c r="L352" i="6"/>
  <c r="Q352" i="6" s="1"/>
  <c r="R352" i="6" s="1"/>
  <c r="N352" i="6"/>
  <c r="T352" i="6" s="1"/>
  <c r="U352" i="6" s="1"/>
  <c r="L348" i="6"/>
  <c r="Q348" i="6" s="1"/>
  <c r="R348" i="6" s="1"/>
  <c r="N348" i="6"/>
  <c r="T348" i="6" s="1"/>
  <c r="U348" i="6" s="1"/>
  <c r="L344" i="6"/>
  <c r="Q344" i="6" s="1"/>
  <c r="R344" i="6" s="1"/>
  <c r="N344" i="6"/>
  <c r="T344" i="6" s="1"/>
  <c r="U344" i="6" s="1"/>
  <c r="L340" i="6"/>
  <c r="Q340" i="6" s="1"/>
  <c r="R340" i="6" s="1"/>
  <c r="N340" i="6"/>
  <c r="T340" i="6" s="1"/>
  <c r="U340" i="6" s="1"/>
  <c r="L336" i="6"/>
  <c r="Q336" i="6" s="1"/>
  <c r="R336" i="6" s="1"/>
  <c r="N336" i="6"/>
  <c r="T336" i="6" s="1"/>
  <c r="U336" i="6" s="1"/>
  <c r="L332" i="6"/>
  <c r="Q332" i="6" s="1"/>
  <c r="R332" i="6" s="1"/>
  <c r="N332" i="6"/>
  <c r="T332" i="6" s="1"/>
  <c r="U332" i="6" s="1"/>
  <c r="L328" i="6"/>
  <c r="Q328" i="6" s="1"/>
  <c r="R328" i="6" s="1"/>
  <c r="N328" i="6"/>
  <c r="T328" i="6" s="1"/>
  <c r="U328" i="6" s="1"/>
  <c r="L324" i="6"/>
  <c r="Q324" i="6" s="1"/>
  <c r="R324" i="6" s="1"/>
  <c r="N324" i="6"/>
  <c r="T324" i="6" s="1"/>
  <c r="U324" i="6" s="1"/>
  <c r="L320" i="6"/>
  <c r="Q320" i="6" s="1"/>
  <c r="R320" i="6" s="1"/>
  <c r="N320" i="6"/>
  <c r="T320" i="6" s="1"/>
  <c r="U320" i="6" s="1"/>
  <c r="L316" i="6"/>
  <c r="Q316" i="6" s="1"/>
  <c r="R316" i="6" s="1"/>
  <c r="N316" i="6"/>
  <c r="T316" i="6" s="1"/>
  <c r="U316" i="6" s="1"/>
  <c r="L312" i="6"/>
  <c r="Q312" i="6" s="1"/>
  <c r="R312" i="6" s="1"/>
  <c r="N312" i="6"/>
  <c r="T312" i="6" s="1"/>
  <c r="U312" i="6" s="1"/>
  <c r="L308" i="6"/>
  <c r="Q308" i="6" s="1"/>
  <c r="R308" i="6" s="1"/>
  <c r="N308" i="6"/>
  <c r="T308" i="6" s="1"/>
  <c r="U308" i="6" s="1"/>
  <c r="L304" i="6"/>
  <c r="Q304" i="6" s="1"/>
  <c r="R304" i="6" s="1"/>
  <c r="N304" i="6"/>
  <c r="T304" i="6" s="1"/>
  <c r="U304" i="6" s="1"/>
  <c r="L300" i="6"/>
  <c r="Q300" i="6" s="1"/>
  <c r="R300" i="6" s="1"/>
  <c r="N300" i="6"/>
  <c r="T300" i="6" s="1"/>
  <c r="U300" i="6" s="1"/>
  <c r="L296" i="6"/>
  <c r="Q296" i="6" s="1"/>
  <c r="R296" i="6" s="1"/>
  <c r="N296" i="6"/>
  <c r="T296" i="6" s="1"/>
  <c r="U296" i="6" s="1"/>
  <c r="L292" i="6"/>
  <c r="Q292" i="6" s="1"/>
  <c r="R292" i="6" s="1"/>
  <c r="N292" i="6"/>
  <c r="T292" i="6" s="1"/>
  <c r="U292" i="6" s="1"/>
  <c r="L288" i="6"/>
  <c r="Q288" i="6" s="1"/>
  <c r="R288" i="6" s="1"/>
  <c r="N288" i="6"/>
  <c r="T288" i="6" s="1"/>
  <c r="U288" i="6" s="1"/>
  <c r="L284" i="6"/>
  <c r="Q284" i="6" s="1"/>
  <c r="R284" i="6" s="1"/>
  <c r="N284" i="6"/>
  <c r="T284" i="6" s="1"/>
  <c r="U284" i="6" s="1"/>
  <c r="L280" i="6"/>
  <c r="Q280" i="6" s="1"/>
  <c r="R280" i="6" s="1"/>
  <c r="N280" i="6"/>
  <c r="T280" i="6" s="1"/>
  <c r="U280" i="6" s="1"/>
  <c r="L276" i="6"/>
  <c r="Q276" i="6" s="1"/>
  <c r="R276" i="6" s="1"/>
  <c r="N276" i="6"/>
  <c r="T276" i="6" s="1"/>
  <c r="U276" i="6" s="1"/>
  <c r="L272" i="6"/>
  <c r="Q272" i="6" s="1"/>
  <c r="R272" i="6" s="1"/>
  <c r="N272" i="6"/>
  <c r="T272" i="6" s="1"/>
  <c r="U272" i="6" s="1"/>
  <c r="L268" i="6"/>
  <c r="Q268" i="6" s="1"/>
  <c r="R268" i="6" s="1"/>
  <c r="N268" i="6"/>
  <c r="T268" i="6" s="1"/>
  <c r="U268" i="6" s="1"/>
  <c r="L264" i="6"/>
  <c r="Q264" i="6" s="1"/>
  <c r="R264" i="6" s="1"/>
  <c r="N264" i="6"/>
  <c r="T264" i="6" s="1"/>
  <c r="U264" i="6" s="1"/>
  <c r="L260" i="6"/>
  <c r="Q260" i="6" s="1"/>
  <c r="R260" i="6" s="1"/>
  <c r="N260" i="6"/>
  <c r="T260" i="6" s="1"/>
  <c r="U260" i="6" s="1"/>
  <c r="L256" i="6"/>
  <c r="Q256" i="6" s="1"/>
  <c r="N256" i="6"/>
  <c r="T256" i="6" s="1"/>
  <c r="U256" i="6" s="1"/>
  <c r="L252" i="6"/>
  <c r="Q252" i="6" s="1"/>
  <c r="N252" i="6"/>
  <c r="T252" i="6" s="1"/>
  <c r="U252" i="6" s="1"/>
  <c r="L248" i="6"/>
  <c r="Q248" i="6" s="1"/>
  <c r="N248" i="6"/>
  <c r="T248" i="6" s="1"/>
  <c r="U248" i="6" s="1"/>
  <c r="L244" i="6"/>
  <c r="Q244" i="6" s="1"/>
  <c r="N244" i="6"/>
  <c r="T244" i="6" s="1"/>
  <c r="U244" i="6" s="1"/>
  <c r="L240" i="6"/>
  <c r="Q240" i="6" s="1"/>
  <c r="N240" i="6"/>
  <c r="T240" i="6" s="1"/>
  <c r="U240" i="6" s="1"/>
  <c r="L236" i="6"/>
  <c r="Q236" i="6" s="1"/>
  <c r="N236" i="6"/>
  <c r="T236" i="6" s="1"/>
  <c r="U236" i="6" s="1"/>
  <c r="L232" i="6"/>
  <c r="Q232" i="6" s="1"/>
  <c r="N232" i="6"/>
  <c r="T232" i="6" s="1"/>
  <c r="L228" i="6"/>
  <c r="Q228" i="6" s="1"/>
  <c r="N228" i="6"/>
  <c r="T228" i="6" s="1"/>
  <c r="L224" i="6"/>
  <c r="Q224" i="6" s="1"/>
  <c r="N224" i="6"/>
  <c r="T224" i="6" s="1"/>
  <c r="L220" i="6"/>
  <c r="Q220" i="6" s="1"/>
  <c r="N220" i="6"/>
  <c r="T220" i="6" s="1"/>
  <c r="L212" i="6"/>
  <c r="Q212" i="6" s="1"/>
  <c r="N212" i="6"/>
  <c r="T212" i="6" s="1"/>
  <c r="L208" i="6"/>
  <c r="Q208" i="6" s="1"/>
  <c r="N208" i="6"/>
  <c r="T208" i="6" s="1"/>
  <c r="L204" i="6"/>
  <c r="Q204" i="6" s="1"/>
  <c r="N204" i="6"/>
  <c r="T204" i="6" s="1"/>
  <c r="U204" i="6" s="1"/>
  <c r="L196" i="6"/>
  <c r="Q196" i="6" s="1"/>
  <c r="N196" i="6"/>
  <c r="T196" i="6" s="1"/>
  <c r="U196" i="6" s="1"/>
  <c r="L192" i="6"/>
  <c r="Q192" i="6" s="1"/>
  <c r="N192" i="6"/>
  <c r="T192" i="6" s="1"/>
  <c r="U192" i="6" s="1"/>
  <c r="L188" i="6"/>
  <c r="Q188" i="6" s="1"/>
  <c r="N188" i="6"/>
  <c r="T188" i="6" s="1"/>
  <c r="U188" i="6" s="1"/>
  <c r="L184" i="6"/>
  <c r="Q184" i="6" s="1"/>
  <c r="N184" i="6"/>
  <c r="T184" i="6" s="1"/>
  <c r="U184" i="6" s="1"/>
  <c r="L180" i="6"/>
  <c r="Q180" i="6" s="1"/>
  <c r="N180" i="6"/>
  <c r="T180" i="6" s="1"/>
  <c r="U180" i="6" s="1"/>
  <c r="L176" i="6"/>
  <c r="Q176" i="6" s="1"/>
  <c r="R176" i="6" s="1"/>
  <c r="N176" i="6"/>
  <c r="T176" i="6" s="1"/>
  <c r="U176" i="6" s="1"/>
  <c r="L172" i="6"/>
  <c r="Q172" i="6" s="1"/>
  <c r="R172" i="6" s="1"/>
  <c r="N172" i="6"/>
  <c r="T172" i="6" s="1"/>
  <c r="U172" i="6" s="1"/>
  <c r="L168" i="6"/>
  <c r="Q168" i="6" s="1"/>
  <c r="R168" i="6" s="1"/>
  <c r="N168" i="6"/>
  <c r="T168" i="6" s="1"/>
  <c r="U168" i="6" s="1"/>
  <c r="L164" i="6"/>
  <c r="Q164" i="6" s="1"/>
  <c r="R164" i="6" s="1"/>
  <c r="N164" i="6"/>
  <c r="T164" i="6" s="1"/>
  <c r="U164" i="6" s="1"/>
  <c r="L160" i="6"/>
  <c r="Q160" i="6" s="1"/>
  <c r="R160" i="6" s="1"/>
  <c r="N160" i="6"/>
  <c r="T160" i="6" s="1"/>
  <c r="U160" i="6" s="1"/>
  <c r="L156" i="6"/>
  <c r="Q156" i="6" s="1"/>
  <c r="R156" i="6" s="1"/>
  <c r="N156" i="6"/>
  <c r="T156" i="6" s="1"/>
  <c r="U156" i="6" s="1"/>
  <c r="L152" i="6"/>
  <c r="Q152" i="6" s="1"/>
  <c r="R152" i="6" s="1"/>
  <c r="N152" i="6"/>
  <c r="T152" i="6" s="1"/>
  <c r="U152" i="6" s="1"/>
  <c r="L148" i="6"/>
  <c r="Q148" i="6" s="1"/>
  <c r="R148" i="6" s="1"/>
  <c r="N148" i="6"/>
  <c r="T148" i="6" s="1"/>
  <c r="U148" i="6" s="1"/>
  <c r="L144" i="6"/>
  <c r="Q144" i="6" s="1"/>
  <c r="R144" i="6" s="1"/>
  <c r="N144" i="6"/>
  <c r="T144" i="6" s="1"/>
  <c r="U144" i="6" s="1"/>
  <c r="L140" i="6"/>
  <c r="Q140" i="6" s="1"/>
  <c r="R140" i="6" s="1"/>
  <c r="N140" i="6"/>
  <c r="T140" i="6" s="1"/>
  <c r="U140" i="6" s="1"/>
  <c r="L136" i="6"/>
  <c r="Q136" i="6" s="1"/>
  <c r="R136" i="6" s="1"/>
  <c r="N136" i="6"/>
  <c r="T136" i="6" s="1"/>
  <c r="U136" i="6" s="1"/>
  <c r="L132" i="6"/>
  <c r="Q132" i="6" s="1"/>
  <c r="R132" i="6" s="1"/>
  <c r="N132" i="6"/>
  <c r="T132" i="6" s="1"/>
  <c r="U132" i="6" s="1"/>
  <c r="L128" i="6"/>
  <c r="Q128" i="6" s="1"/>
  <c r="R128" i="6" s="1"/>
  <c r="N128" i="6"/>
  <c r="T128" i="6" s="1"/>
  <c r="U128" i="6" s="1"/>
  <c r="L124" i="6"/>
  <c r="Q124" i="6" s="1"/>
  <c r="R124" i="6" s="1"/>
  <c r="N124" i="6"/>
  <c r="T124" i="6" s="1"/>
  <c r="U124" i="6" s="1"/>
  <c r="L120" i="6"/>
  <c r="Q120" i="6" s="1"/>
  <c r="R120" i="6" s="1"/>
  <c r="N120" i="6"/>
  <c r="T120" i="6" s="1"/>
  <c r="U120" i="6" s="1"/>
  <c r="L116" i="6"/>
  <c r="Q116" i="6" s="1"/>
  <c r="R116" i="6" s="1"/>
  <c r="N116" i="6"/>
  <c r="T116" i="6" s="1"/>
  <c r="U116" i="6" s="1"/>
  <c r="L112" i="6"/>
  <c r="Q112" i="6" s="1"/>
  <c r="R112" i="6" s="1"/>
  <c r="N112" i="6"/>
  <c r="T112" i="6" s="1"/>
  <c r="U112" i="6" s="1"/>
  <c r="L108" i="6"/>
  <c r="Q108" i="6" s="1"/>
  <c r="R108" i="6" s="1"/>
  <c r="N108" i="6"/>
  <c r="T108" i="6" s="1"/>
  <c r="U108" i="6" s="1"/>
  <c r="L104" i="6"/>
  <c r="Q104" i="6" s="1"/>
  <c r="R104" i="6" s="1"/>
  <c r="N104" i="6"/>
  <c r="T104" i="6" s="1"/>
  <c r="U104" i="6" s="1"/>
  <c r="L100" i="6"/>
  <c r="Q100" i="6" s="1"/>
  <c r="N100" i="6"/>
  <c r="T100" i="6" s="1"/>
  <c r="L96" i="6"/>
  <c r="Q96" i="6" s="1"/>
  <c r="N96" i="6"/>
  <c r="T96" i="6" s="1"/>
  <c r="L92" i="6"/>
  <c r="Q92" i="6" s="1"/>
  <c r="N92" i="6"/>
  <c r="T92" i="6" s="1"/>
  <c r="L88" i="6"/>
  <c r="Q88" i="6" s="1"/>
  <c r="N88" i="6"/>
  <c r="T88" i="6" s="1"/>
  <c r="L84" i="6"/>
  <c r="Q84" i="6" s="1"/>
  <c r="N84" i="6"/>
  <c r="T84" i="6" s="1"/>
  <c r="L80" i="6"/>
  <c r="Q80" i="6" s="1"/>
  <c r="N80" i="6"/>
  <c r="T80" i="6" s="1"/>
  <c r="L76" i="6"/>
  <c r="Q76" i="6" s="1"/>
  <c r="N76" i="6"/>
  <c r="T76" i="6" s="1"/>
  <c r="L72" i="6"/>
  <c r="Q72" i="6" s="1"/>
  <c r="R72" i="6" s="1"/>
  <c r="N72" i="6"/>
  <c r="T72" i="6" s="1"/>
  <c r="U72" i="6" s="1"/>
  <c r="L68" i="6"/>
  <c r="Q68" i="6" s="1"/>
  <c r="R68" i="6" s="1"/>
  <c r="N68" i="6"/>
  <c r="T68" i="6" s="1"/>
  <c r="U68" i="6" s="1"/>
  <c r="L64" i="6"/>
  <c r="Q64" i="6" s="1"/>
  <c r="R64" i="6" s="1"/>
  <c r="N64" i="6"/>
  <c r="T64" i="6" s="1"/>
  <c r="U64" i="6" s="1"/>
  <c r="N558" i="6"/>
  <c r="T558" i="6" s="1"/>
  <c r="U558" i="6" s="1"/>
  <c r="N551" i="6"/>
  <c r="T551" i="6" s="1"/>
  <c r="N543" i="6"/>
  <c r="T543" i="6" s="1"/>
  <c r="U543" i="6" s="1"/>
  <c r="N535" i="6"/>
  <c r="T535" i="6" s="1"/>
  <c r="U535" i="6" s="1"/>
  <c r="N527" i="6"/>
  <c r="T527" i="6" s="1"/>
  <c r="U527" i="6" s="1"/>
  <c r="N519" i="6"/>
  <c r="T519" i="6" s="1"/>
  <c r="U519" i="6" s="1"/>
  <c r="N511" i="6"/>
  <c r="T511" i="6" s="1"/>
  <c r="U511" i="6" s="1"/>
  <c r="N503" i="6"/>
  <c r="T503" i="6" s="1"/>
  <c r="U503" i="6" s="1"/>
  <c r="N495" i="6"/>
  <c r="T495" i="6" s="1"/>
  <c r="U495" i="6" s="1"/>
  <c r="N487" i="6"/>
  <c r="T487" i="6" s="1"/>
  <c r="U487" i="6" s="1"/>
  <c r="N479" i="6"/>
  <c r="T479" i="6" s="1"/>
  <c r="U479" i="6" s="1"/>
  <c r="N471" i="6"/>
  <c r="T471" i="6" s="1"/>
  <c r="U471" i="6" s="1"/>
  <c r="N463" i="6"/>
  <c r="T463" i="6" s="1"/>
  <c r="U463" i="6" s="1"/>
  <c r="N455" i="6"/>
  <c r="T455" i="6" s="1"/>
  <c r="U455" i="6" s="1"/>
  <c r="N447" i="6"/>
  <c r="T447" i="6" s="1"/>
  <c r="U447" i="6" s="1"/>
  <c r="N439" i="6"/>
  <c r="T439" i="6" s="1"/>
  <c r="U439" i="6" s="1"/>
  <c r="N431" i="6"/>
  <c r="T431" i="6" s="1"/>
  <c r="U431" i="6" s="1"/>
  <c r="N423" i="6"/>
  <c r="T423" i="6" s="1"/>
  <c r="U423" i="6" s="1"/>
  <c r="N415" i="6"/>
  <c r="T415" i="6" s="1"/>
  <c r="U415" i="6" s="1"/>
  <c r="N407" i="6"/>
  <c r="T407" i="6" s="1"/>
  <c r="U407" i="6" s="1"/>
  <c r="N399" i="6"/>
  <c r="T399" i="6" s="1"/>
  <c r="U399" i="6" s="1"/>
  <c r="N391" i="6"/>
  <c r="T391" i="6" s="1"/>
  <c r="U391" i="6" s="1"/>
  <c r="N383" i="6"/>
  <c r="T383" i="6" s="1"/>
  <c r="U383" i="6" s="1"/>
  <c r="N375" i="6"/>
  <c r="T375" i="6" s="1"/>
  <c r="U375" i="6" s="1"/>
  <c r="N367" i="6"/>
  <c r="T367" i="6" s="1"/>
  <c r="U367" i="6" s="1"/>
  <c r="N359" i="6"/>
  <c r="T359" i="6" s="1"/>
  <c r="U359" i="6" s="1"/>
  <c r="N351" i="6"/>
  <c r="T351" i="6" s="1"/>
  <c r="U351" i="6" s="1"/>
  <c r="N343" i="6"/>
  <c r="T343" i="6" s="1"/>
  <c r="U343" i="6" s="1"/>
  <c r="N335" i="6"/>
  <c r="T335" i="6" s="1"/>
  <c r="U335" i="6" s="1"/>
  <c r="N327" i="6"/>
  <c r="T327" i="6" s="1"/>
  <c r="U327" i="6" s="1"/>
  <c r="N319" i="6"/>
  <c r="T319" i="6" s="1"/>
  <c r="U319" i="6" s="1"/>
  <c r="N311" i="6"/>
  <c r="T311" i="6" s="1"/>
  <c r="U311" i="6" s="1"/>
  <c r="N303" i="6"/>
  <c r="T303" i="6" s="1"/>
  <c r="U303" i="6" s="1"/>
  <c r="N275" i="6"/>
  <c r="T275" i="6" s="1"/>
  <c r="U275" i="6" s="1"/>
  <c r="N259" i="6"/>
  <c r="T259" i="6" s="1"/>
  <c r="U259" i="6" s="1"/>
  <c r="N243" i="6"/>
  <c r="T243" i="6" s="1"/>
  <c r="U243" i="6" s="1"/>
  <c r="N226" i="6"/>
  <c r="T226" i="6" s="1"/>
  <c r="N205" i="6"/>
  <c r="T205" i="6" s="1"/>
  <c r="U205" i="6" s="1"/>
  <c r="N181" i="6"/>
  <c r="T181" i="6" s="1"/>
  <c r="U181" i="6" s="1"/>
  <c r="N149" i="6"/>
  <c r="T149" i="6" s="1"/>
  <c r="U149" i="6" s="1"/>
  <c r="N117" i="6"/>
  <c r="T117" i="6" s="1"/>
  <c r="U117" i="6" s="1"/>
  <c r="N85" i="6"/>
  <c r="T85" i="6" s="1"/>
  <c r="N53" i="6"/>
  <c r="T53" i="6" s="1"/>
  <c r="U53" i="6" s="1"/>
  <c r="N60" i="6"/>
  <c r="T60" i="6" s="1"/>
  <c r="U60" i="6" s="1"/>
  <c r="N52" i="6"/>
  <c r="T52" i="6" s="1"/>
  <c r="U52" i="6" s="1"/>
  <c r="L187" i="6"/>
  <c r="Q187" i="6" s="1"/>
  <c r="N187" i="6"/>
  <c r="T187" i="6" s="1"/>
  <c r="U187" i="6" s="1"/>
  <c r="L183" i="6"/>
  <c r="Q183" i="6" s="1"/>
  <c r="N183" i="6"/>
  <c r="T183" i="6" s="1"/>
  <c r="U183" i="6" s="1"/>
  <c r="L179" i="6"/>
  <c r="Q179" i="6" s="1"/>
  <c r="R179" i="6" s="1"/>
  <c r="N179" i="6"/>
  <c r="T179" i="6" s="1"/>
  <c r="U179" i="6" s="1"/>
  <c r="L175" i="6"/>
  <c r="Q175" i="6" s="1"/>
  <c r="R175" i="6" s="1"/>
  <c r="N175" i="6"/>
  <c r="T175" i="6" s="1"/>
  <c r="U175" i="6" s="1"/>
  <c r="L171" i="6"/>
  <c r="Q171" i="6" s="1"/>
  <c r="R171" i="6" s="1"/>
  <c r="N171" i="6"/>
  <c r="T171" i="6" s="1"/>
  <c r="U171" i="6" s="1"/>
  <c r="L167" i="6"/>
  <c r="Q167" i="6" s="1"/>
  <c r="R167" i="6" s="1"/>
  <c r="N167" i="6"/>
  <c r="T167" i="6" s="1"/>
  <c r="U167" i="6" s="1"/>
  <c r="L163" i="6"/>
  <c r="Q163" i="6" s="1"/>
  <c r="R163" i="6" s="1"/>
  <c r="N163" i="6"/>
  <c r="T163" i="6" s="1"/>
  <c r="U163" i="6" s="1"/>
  <c r="L159" i="6"/>
  <c r="Q159" i="6" s="1"/>
  <c r="R159" i="6" s="1"/>
  <c r="N159" i="6"/>
  <c r="T159" i="6" s="1"/>
  <c r="U159" i="6" s="1"/>
  <c r="L151" i="6"/>
  <c r="Q151" i="6" s="1"/>
  <c r="R151" i="6" s="1"/>
  <c r="N151" i="6"/>
  <c r="T151" i="6" s="1"/>
  <c r="U151" i="6" s="1"/>
  <c r="L147" i="6"/>
  <c r="Q147" i="6" s="1"/>
  <c r="R147" i="6" s="1"/>
  <c r="N147" i="6"/>
  <c r="T147" i="6" s="1"/>
  <c r="U147" i="6" s="1"/>
  <c r="L143" i="6"/>
  <c r="Q143" i="6" s="1"/>
  <c r="R143" i="6" s="1"/>
  <c r="N143" i="6"/>
  <c r="T143" i="6" s="1"/>
  <c r="U143" i="6" s="1"/>
  <c r="L139" i="6"/>
  <c r="Q139" i="6" s="1"/>
  <c r="R139" i="6" s="1"/>
  <c r="N139" i="6"/>
  <c r="T139" i="6" s="1"/>
  <c r="U139" i="6" s="1"/>
  <c r="L135" i="6"/>
  <c r="Q135" i="6" s="1"/>
  <c r="R135" i="6" s="1"/>
  <c r="N135" i="6"/>
  <c r="T135" i="6" s="1"/>
  <c r="U135" i="6" s="1"/>
  <c r="L131" i="6"/>
  <c r="Q131" i="6" s="1"/>
  <c r="R131" i="6" s="1"/>
  <c r="N131" i="6"/>
  <c r="T131" i="6" s="1"/>
  <c r="U131" i="6" s="1"/>
  <c r="L127" i="6"/>
  <c r="Q127" i="6" s="1"/>
  <c r="R127" i="6" s="1"/>
  <c r="N127" i="6"/>
  <c r="T127" i="6" s="1"/>
  <c r="U127" i="6" s="1"/>
  <c r="L123" i="6"/>
  <c r="Q123" i="6" s="1"/>
  <c r="R123" i="6" s="1"/>
  <c r="N123" i="6"/>
  <c r="T123" i="6" s="1"/>
  <c r="U123" i="6" s="1"/>
  <c r="L119" i="6"/>
  <c r="Q119" i="6" s="1"/>
  <c r="R119" i="6" s="1"/>
  <c r="N119" i="6"/>
  <c r="T119" i="6" s="1"/>
  <c r="U119" i="6" s="1"/>
  <c r="L115" i="6"/>
  <c r="Q115" i="6" s="1"/>
  <c r="R115" i="6" s="1"/>
  <c r="N115" i="6"/>
  <c r="T115" i="6" s="1"/>
  <c r="U115" i="6" s="1"/>
  <c r="L111" i="6"/>
  <c r="Q111" i="6" s="1"/>
  <c r="R111" i="6" s="1"/>
  <c r="N111" i="6"/>
  <c r="T111" i="6" s="1"/>
  <c r="U111" i="6" s="1"/>
  <c r="L107" i="6"/>
  <c r="Q107" i="6" s="1"/>
  <c r="R107" i="6" s="1"/>
  <c r="N107" i="6"/>
  <c r="T107" i="6" s="1"/>
  <c r="U107" i="6" s="1"/>
  <c r="L103" i="6"/>
  <c r="Q103" i="6" s="1"/>
  <c r="R103" i="6" s="1"/>
  <c r="N103" i="6"/>
  <c r="T103" i="6" s="1"/>
  <c r="U103" i="6" s="1"/>
  <c r="L99" i="6"/>
  <c r="Q99" i="6" s="1"/>
  <c r="N99" i="6"/>
  <c r="T99" i="6" s="1"/>
  <c r="L95" i="6"/>
  <c r="Q95" i="6" s="1"/>
  <c r="N95" i="6"/>
  <c r="T95" i="6" s="1"/>
  <c r="U95" i="6" s="1"/>
  <c r="L87" i="6"/>
  <c r="Q87" i="6" s="1"/>
  <c r="N87" i="6"/>
  <c r="T87" i="6" s="1"/>
  <c r="L83" i="6"/>
  <c r="Q83" i="6" s="1"/>
  <c r="N83" i="6"/>
  <c r="T83" i="6" s="1"/>
  <c r="L79" i="6"/>
  <c r="Q79" i="6" s="1"/>
  <c r="N79" i="6"/>
  <c r="T79" i="6" s="1"/>
  <c r="L75" i="6"/>
  <c r="Q75" i="6" s="1"/>
  <c r="N75" i="6"/>
  <c r="T75" i="6" s="1"/>
  <c r="L71" i="6"/>
  <c r="Q71" i="6" s="1"/>
  <c r="R71" i="6" s="1"/>
  <c r="N71" i="6"/>
  <c r="T71" i="6" s="1"/>
  <c r="U71" i="6" s="1"/>
  <c r="L67" i="6"/>
  <c r="Q67" i="6" s="1"/>
  <c r="R67" i="6" s="1"/>
  <c r="N67" i="6"/>
  <c r="T67" i="6" s="1"/>
  <c r="U67" i="6" s="1"/>
  <c r="L63" i="6"/>
  <c r="Q63" i="6" s="1"/>
  <c r="R63" i="6" s="1"/>
  <c r="N63" i="6"/>
  <c r="T63" i="6" s="1"/>
  <c r="U63" i="6" s="1"/>
  <c r="L59" i="6"/>
  <c r="Q59" i="6" s="1"/>
  <c r="R59" i="6" s="1"/>
  <c r="N59" i="6"/>
  <c r="T59" i="6" s="1"/>
  <c r="U59" i="6" s="1"/>
  <c r="L55" i="6"/>
  <c r="Q55" i="6" s="1"/>
  <c r="R55" i="6" s="1"/>
  <c r="N55" i="6"/>
  <c r="T55" i="6" s="1"/>
  <c r="U55" i="6" s="1"/>
  <c r="L51" i="6"/>
  <c r="Q51" i="6" s="1"/>
  <c r="R51" i="6" s="1"/>
  <c r="N51" i="6"/>
  <c r="T51" i="6" s="1"/>
  <c r="U51" i="6" s="1"/>
  <c r="L47" i="6"/>
  <c r="Q47" i="6" s="1"/>
  <c r="R47" i="6" s="1"/>
  <c r="N47" i="6"/>
  <c r="T47" i="6" s="1"/>
  <c r="U47" i="6" s="1"/>
  <c r="L43" i="6"/>
  <c r="Q43" i="6" s="1"/>
  <c r="R43" i="6" s="1"/>
  <c r="N43" i="6"/>
  <c r="T43" i="6" s="1"/>
  <c r="U43" i="6" s="1"/>
  <c r="L39" i="6"/>
  <c r="Q39" i="6" s="1"/>
  <c r="R39" i="6" s="1"/>
  <c r="N39" i="6"/>
  <c r="T39" i="6" s="1"/>
  <c r="U39" i="6" s="1"/>
  <c r="L35" i="6"/>
  <c r="Q35" i="6" s="1"/>
  <c r="R35" i="6" s="1"/>
  <c r="N35" i="6"/>
  <c r="T35" i="6" s="1"/>
  <c r="U35" i="6" s="1"/>
  <c r="L31" i="6"/>
  <c r="Q31" i="6" s="1"/>
  <c r="R31" i="6" s="1"/>
  <c r="N31" i="6"/>
  <c r="T31" i="6" s="1"/>
  <c r="U31" i="6" s="1"/>
  <c r="L23" i="6"/>
  <c r="Q23" i="6" s="1"/>
  <c r="R23" i="6" s="1"/>
  <c r="N23" i="6"/>
  <c r="T23" i="6" s="1"/>
  <c r="U23" i="6" s="1"/>
  <c r="L19" i="6"/>
  <c r="Q19" i="6" s="1"/>
  <c r="R19" i="6" s="1"/>
  <c r="N19" i="6"/>
  <c r="T19" i="6" s="1"/>
  <c r="U19" i="6" s="1"/>
  <c r="L15" i="6"/>
  <c r="Q15" i="6" s="1"/>
  <c r="N15" i="6"/>
  <c r="T15" i="6" s="1"/>
  <c r="U15" i="6" s="1"/>
  <c r="L11" i="6"/>
  <c r="Q11" i="6" s="1"/>
  <c r="R11" i="6" s="1"/>
  <c r="N11" i="6"/>
  <c r="T11" i="6" s="1"/>
  <c r="U11" i="6" s="1"/>
  <c r="L7" i="6"/>
  <c r="Q7" i="6" s="1"/>
  <c r="R7" i="6" s="1"/>
  <c r="N7" i="6"/>
  <c r="T7" i="6" s="1"/>
  <c r="U7" i="6" s="1"/>
  <c r="L155" i="6"/>
  <c r="Q155" i="6" s="1"/>
  <c r="R155" i="6" s="1"/>
  <c r="N56" i="6"/>
  <c r="T56" i="6" s="1"/>
  <c r="U56" i="6" s="1"/>
  <c r="N48" i="6"/>
  <c r="T48" i="6" s="1"/>
  <c r="U48" i="6" s="1"/>
  <c r="N40" i="6"/>
  <c r="T40" i="6" s="1"/>
  <c r="U40" i="6" s="1"/>
  <c r="N32" i="6"/>
  <c r="T32" i="6" s="1"/>
  <c r="U32" i="6" s="1"/>
  <c r="N24" i="6"/>
  <c r="T24" i="6" s="1"/>
  <c r="U24" i="6" s="1"/>
  <c r="N16" i="6"/>
  <c r="T16" i="6" s="1"/>
  <c r="U16" i="6" s="1"/>
  <c r="N8" i="6"/>
  <c r="T8" i="6" s="1"/>
  <c r="U8" i="6" s="1"/>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37" i="11"/>
  <c r="G41" i="11"/>
  <c r="G43" i="11"/>
  <c r="F3" i="11"/>
  <c r="I3" i="11" s="1"/>
  <c r="J3" i="11" s="1"/>
  <c r="F4" i="11"/>
  <c r="F40" i="11"/>
  <c r="F42" i="11"/>
  <c r="F44" i="11"/>
  <c r="I44" i="11" s="1"/>
  <c r="J44" i="11" s="1"/>
  <c r="U82" i="6" l="1"/>
  <c r="U85" i="6"/>
  <c r="U76" i="6"/>
  <c r="U84" i="6"/>
  <c r="U94" i="6"/>
  <c r="U86" i="6"/>
  <c r="U81" i="6"/>
  <c r="U98" i="6"/>
  <c r="U92" i="6"/>
  <c r="U99" i="6"/>
  <c r="U88" i="6"/>
  <c r="U79" i="6"/>
  <c r="U89" i="6"/>
  <c r="U75" i="6"/>
  <c r="U96" i="6"/>
  <c r="U77" i="6"/>
  <c r="U83" i="6"/>
  <c r="U97" i="6"/>
  <c r="U74" i="6"/>
  <c r="U80" i="6"/>
  <c r="U90" i="6"/>
  <c r="U100" i="6"/>
  <c r="U87" i="6"/>
  <c r="U78" i="6"/>
  <c r="U93" i="6"/>
  <c r="U101" i="6"/>
  <c r="U91" i="6"/>
  <c r="U551" i="6"/>
  <c r="R565" i="6"/>
  <c r="R76" i="6"/>
  <c r="R99" i="6"/>
  <c r="R90" i="6"/>
  <c r="R91" i="6"/>
  <c r="R84" i="6"/>
  <c r="R94" i="6"/>
  <c r="R88" i="6"/>
  <c r="R81" i="6"/>
  <c r="R98" i="6"/>
  <c r="R92" i="6"/>
  <c r="R79" i="6"/>
  <c r="R89" i="6"/>
  <c r="R75" i="6"/>
  <c r="R96" i="6"/>
  <c r="R80" i="6"/>
  <c r="R83" i="6"/>
  <c r="R97" i="6"/>
  <c r="R74" i="6"/>
  <c r="R100" i="6"/>
  <c r="R77" i="6"/>
  <c r="R87" i="6"/>
  <c r="R78" i="6"/>
  <c r="R85" i="6"/>
  <c r="R101" i="6"/>
  <c r="R86" i="6"/>
  <c r="R95" i="6"/>
  <c r="R82" i="6"/>
  <c r="R93" i="6"/>
  <c r="R9" i="6"/>
  <c r="R10" i="6"/>
  <c r="R8" i="6"/>
  <c r="R550" i="6"/>
  <c r="R209" i="6"/>
  <c r="R229" i="6"/>
  <c r="R222" i="6"/>
  <c r="R212" i="6"/>
  <c r="R232" i="6"/>
  <c r="R213" i="6"/>
  <c r="R233" i="6"/>
  <c r="R227" i="6"/>
  <c r="R206" i="6"/>
  <c r="R230" i="6"/>
  <c r="R215" i="6"/>
  <c r="R220" i="6"/>
  <c r="R207" i="6"/>
  <c r="R221" i="6"/>
  <c r="R217" i="6"/>
  <c r="R214" i="6"/>
  <c r="R231" i="6"/>
  <c r="R224" i="6"/>
  <c r="R223" i="6"/>
  <c r="R216" i="6"/>
  <c r="R225" i="6"/>
  <c r="R211" i="6"/>
  <c r="R218" i="6"/>
  <c r="R226" i="6"/>
  <c r="R208" i="6"/>
  <c r="R228" i="6"/>
  <c r="R219" i="6"/>
  <c r="R210" i="6"/>
  <c r="U226" i="6"/>
  <c r="U217" i="6"/>
  <c r="U214" i="6"/>
  <c r="U222" i="6"/>
  <c r="U209" i="6"/>
  <c r="U229" i="6"/>
  <c r="U212" i="6"/>
  <c r="U224" i="6"/>
  <c r="U232" i="6"/>
  <c r="U223" i="6"/>
  <c r="U219" i="6"/>
  <c r="U216" i="6"/>
  <c r="U210" i="6"/>
  <c r="U213" i="6"/>
  <c r="U225" i="6"/>
  <c r="U233" i="6"/>
  <c r="U211" i="6"/>
  <c r="U227" i="6"/>
  <c r="U206" i="6"/>
  <c r="U218" i="6"/>
  <c r="U230" i="6"/>
  <c r="U215" i="6"/>
  <c r="U221" i="6"/>
  <c r="U208" i="6"/>
  <c r="U220" i="6"/>
  <c r="U228" i="6"/>
  <c r="U207" i="6"/>
  <c r="U231" i="6"/>
  <c r="R15" i="6"/>
  <c r="R17" i="6"/>
  <c r="R12" i="6"/>
  <c r="R14" i="6"/>
  <c r="R16" i="6"/>
  <c r="R13" i="6"/>
  <c r="R551" i="6"/>
  <c r="R185" i="6"/>
  <c r="R182" i="6"/>
  <c r="R202" i="6"/>
  <c r="R203" i="6"/>
  <c r="R192" i="6"/>
  <c r="R195" i="6"/>
  <c r="R187" i="6"/>
  <c r="R193" i="6"/>
  <c r="R186" i="6"/>
  <c r="R180" i="6"/>
  <c r="R196" i="6"/>
  <c r="R189" i="6"/>
  <c r="R183" i="6"/>
  <c r="R197" i="6"/>
  <c r="R199" i="6"/>
  <c r="R190" i="6"/>
  <c r="R181" i="6"/>
  <c r="R184" i="6"/>
  <c r="R204" i="6"/>
  <c r="R205" i="6"/>
  <c r="R201" i="6"/>
  <c r="R198" i="6"/>
  <c r="R191" i="6"/>
  <c r="R200" i="6"/>
  <c r="R188" i="6"/>
  <c r="R194" i="6"/>
  <c r="R245" i="6"/>
  <c r="R242" i="6"/>
  <c r="R258" i="6"/>
  <c r="R248" i="6"/>
  <c r="R249" i="6"/>
  <c r="R246" i="6"/>
  <c r="R236" i="6"/>
  <c r="R252" i="6"/>
  <c r="R235" i="6"/>
  <c r="R237" i="6"/>
  <c r="R253" i="6"/>
  <c r="R234" i="6"/>
  <c r="R250" i="6"/>
  <c r="R243" i="6"/>
  <c r="R240" i="6"/>
  <c r="R256" i="6"/>
  <c r="R251" i="6"/>
  <c r="R239" i="6"/>
  <c r="R241" i="6"/>
  <c r="R257" i="6"/>
  <c r="R238" i="6"/>
  <c r="R254" i="6"/>
  <c r="R259" i="6"/>
  <c r="R247" i="6"/>
  <c r="R244" i="6"/>
  <c r="R255" i="6"/>
  <c r="D5" i="11"/>
  <c r="D3" i="11"/>
  <c r="G3" i="11" s="1"/>
  <c r="D4" i="11"/>
  <c r="G4" i="11" s="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F37" i="11" s="1"/>
  <c r="D38" i="11"/>
  <c r="D39" i="11"/>
  <c r="D40" i="11"/>
  <c r="G40" i="11" s="1"/>
  <c r="D41" i="11"/>
  <c r="F41" i="11" s="1"/>
  <c r="D42" i="11"/>
  <c r="G42" i="11" s="1"/>
  <c r="D43" i="11"/>
  <c r="F43" i="11" s="1"/>
  <c r="D44" i="11"/>
  <c r="G44" i="11" s="1"/>
  <c r="L44" i="11" s="1"/>
  <c r="V73" i="6" l="1"/>
  <c r="V542" i="6"/>
  <c r="V272" i="6"/>
  <c r="V93" i="6"/>
  <c r="V302" i="6"/>
  <c r="V459" i="6"/>
  <c r="V476" i="6"/>
  <c r="V145" i="6"/>
  <c r="V480" i="6"/>
  <c r="V118" i="6"/>
  <c r="V382" i="6"/>
  <c r="V316" i="6"/>
  <c r="V425" i="6"/>
  <c r="V341" i="6"/>
  <c r="V76" i="6"/>
  <c r="V498" i="6"/>
  <c r="V315" i="6"/>
  <c r="V235" i="6"/>
  <c r="V559" i="6"/>
  <c r="V171" i="6"/>
  <c r="V322" i="6"/>
  <c r="V429" i="6"/>
  <c r="V154" i="6"/>
  <c r="V240" i="6"/>
  <c r="V479" i="6"/>
  <c r="V10" i="6"/>
  <c r="V146" i="6"/>
  <c r="V134" i="6"/>
  <c r="V320" i="6"/>
  <c r="V258" i="6"/>
  <c r="V544" i="6"/>
  <c r="V539" i="6"/>
  <c r="V8" i="6"/>
  <c r="V170" i="6"/>
  <c r="V132" i="6"/>
  <c r="V156" i="6"/>
  <c r="V493" i="6"/>
  <c r="V385" i="6"/>
  <c r="V449" i="6"/>
  <c r="V356" i="6"/>
  <c r="V98" i="6"/>
  <c r="V61" i="6"/>
  <c r="V342" i="6"/>
  <c r="V424" i="6"/>
  <c r="V211" i="6"/>
  <c r="V57" i="6"/>
  <c r="V271" i="6"/>
  <c r="V360" i="6"/>
  <c r="V92" i="6"/>
  <c r="V78" i="6"/>
  <c r="V442" i="6"/>
  <c r="V216" i="6"/>
  <c r="V348" i="6"/>
  <c r="V447" i="6"/>
  <c r="V378" i="6"/>
  <c r="V504" i="6"/>
  <c r="V275" i="6"/>
  <c r="V354" i="6"/>
  <c r="V9" i="6"/>
  <c r="V492" i="6"/>
  <c r="V95" i="6"/>
  <c r="V196" i="6"/>
  <c r="V522" i="6"/>
  <c r="V293" i="6"/>
  <c r="V413" i="6"/>
  <c r="V155" i="6"/>
  <c r="V121" i="6"/>
  <c r="V423" i="6"/>
  <c r="V295" i="6"/>
  <c r="V238" i="6"/>
  <c r="V313" i="6"/>
  <c r="V54" i="6"/>
  <c r="V446" i="6"/>
  <c r="V22" i="6"/>
  <c r="V244" i="6"/>
  <c r="V221" i="6"/>
  <c r="V77" i="6"/>
  <c r="V137" i="6"/>
  <c r="V90" i="6"/>
  <c r="V87" i="6"/>
  <c r="V326" i="6"/>
  <c r="V540" i="6"/>
  <c r="V67" i="6"/>
  <c r="V274" i="6"/>
  <c r="V201" i="6"/>
  <c r="V482" i="6"/>
  <c r="V343" i="6"/>
  <c r="V82" i="6"/>
  <c r="V556" i="6"/>
  <c r="V546" i="6"/>
  <c r="V520" i="6"/>
  <c r="V414" i="6"/>
  <c r="V568" i="6"/>
  <c r="V388" i="6"/>
  <c r="V191" i="6"/>
  <c r="V564" i="6"/>
  <c r="V561" i="6"/>
  <c r="V127" i="6"/>
  <c r="V351" i="6"/>
  <c r="V13" i="6"/>
  <c r="V545" i="6"/>
  <c r="V362" i="6"/>
  <c r="V470" i="6"/>
  <c r="V379" i="6"/>
  <c r="V337" i="6"/>
  <c r="V415" i="6"/>
  <c r="V210" i="6"/>
  <c r="V328" i="6"/>
  <c r="V370" i="6"/>
  <c r="V260" i="6"/>
  <c r="V535" i="6"/>
  <c r="V553" i="6"/>
  <c r="V28" i="6"/>
  <c r="V278" i="6"/>
  <c r="V403" i="6"/>
  <c r="V330" i="6"/>
  <c r="V119" i="6"/>
  <c r="V103" i="6"/>
  <c r="V228" i="6"/>
  <c r="V24" i="6"/>
  <c r="V357" i="6"/>
  <c r="V30" i="6"/>
  <c r="V133" i="6"/>
  <c r="V448" i="6"/>
  <c r="V184" i="6"/>
  <c r="V364" i="6"/>
  <c r="V273" i="6"/>
  <c r="V59" i="6"/>
  <c r="V386" i="6"/>
  <c r="V126" i="6"/>
  <c r="V441" i="6"/>
  <c r="V491" i="6"/>
  <c r="V534" i="6"/>
  <c r="V532" i="6"/>
  <c r="V502" i="6"/>
  <c r="V347" i="6"/>
  <c r="V267" i="6"/>
  <c r="V237" i="6"/>
  <c r="V150" i="6"/>
  <c r="V217" i="6"/>
  <c r="V124" i="6"/>
  <c r="V189" i="6"/>
  <c r="V243" i="6"/>
  <c r="V353" i="6"/>
  <c r="V128" i="6"/>
  <c r="V71" i="6"/>
  <c r="V162" i="6"/>
  <c r="V12" i="6"/>
  <c r="V101" i="6"/>
  <c r="V508" i="6"/>
  <c r="V303" i="6"/>
  <c r="V526" i="6"/>
  <c r="V47" i="6"/>
  <c r="V181" i="6"/>
  <c r="V37" i="6"/>
  <c r="V301" i="6"/>
  <c r="V398" i="6"/>
  <c r="V281" i="6"/>
  <c r="V52" i="6"/>
  <c r="V317" i="6"/>
  <c r="V307" i="6"/>
  <c r="V569" i="6"/>
  <c r="V192" i="6"/>
  <c r="V396" i="6"/>
  <c r="V290" i="6"/>
  <c r="V506" i="6"/>
  <c r="V229" i="6"/>
  <c r="V438" i="6"/>
  <c r="V183" i="6"/>
  <c r="V503" i="6"/>
  <c r="V287" i="6"/>
  <c r="V136" i="6"/>
  <c r="V50" i="6"/>
  <c r="V483" i="6"/>
  <c r="V533" i="6"/>
  <c r="V325" i="6"/>
  <c r="V334" i="6"/>
  <c r="V33" i="6"/>
  <c r="V517" i="6"/>
  <c r="V163" i="6"/>
  <c r="V251" i="6"/>
  <c r="V345" i="6"/>
  <c r="V383" i="6"/>
  <c r="V241" i="6"/>
  <c r="V562" i="6"/>
  <c r="V151" i="6"/>
  <c r="V454" i="6"/>
  <c r="V407" i="6"/>
  <c r="V39" i="6"/>
  <c r="V49" i="6"/>
  <c r="V114" i="6"/>
  <c r="V419" i="6"/>
  <c r="V164" i="6"/>
  <c r="V38" i="6"/>
  <c r="V108" i="6"/>
  <c r="V97" i="6"/>
  <c r="V453" i="6"/>
  <c r="V27" i="6"/>
  <c r="V193" i="6"/>
  <c r="V426" i="6"/>
  <c r="V521" i="6"/>
  <c r="V223" i="6"/>
  <c r="V464" i="6"/>
  <c r="V18" i="6"/>
  <c r="V515" i="6"/>
  <c r="V300" i="6"/>
  <c r="V213" i="6"/>
  <c r="V368" i="6"/>
  <c r="V565" i="6"/>
  <c r="V336" i="6"/>
  <c r="V393" i="6"/>
  <c r="V335" i="6"/>
  <c r="V220" i="6"/>
  <c r="V79" i="6"/>
  <c r="V91" i="6"/>
  <c r="V88" i="6"/>
  <c r="V359" i="6"/>
  <c r="V17" i="6"/>
  <c r="V43" i="6"/>
  <c r="V402" i="6"/>
  <c r="V538" i="6"/>
  <c r="V46" i="6"/>
  <c r="V541" i="6"/>
  <c r="V297" i="6"/>
  <c r="V20" i="6"/>
  <c r="V29" i="6"/>
  <c r="V552" i="6"/>
  <c r="V350" i="6"/>
  <c r="V487" i="6"/>
  <c r="V399" i="6"/>
  <c r="V212" i="6"/>
  <c r="V500" i="6"/>
  <c r="V288" i="6"/>
  <c r="V152" i="6"/>
  <c r="V236" i="6"/>
  <c r="V209" i="6"/>
  <c r="V107" i="6"/>
  <c r="V489" i="6"/>
  <c r="V410" i="6"/>
  <c r="V110" i="6"/>
  <c r="V363" i="6"/>
  <c r="V488" i="6"/>
  <c r="V391" i="6"/>
  <c r="V187" i="6"/>
  <c r="V475" i="6"/>
  <c r="V312" i="6"/>
  <c r="V261" i="6"/>
  <c r="V547" i="6"/>
  <c r="V418" i="6"/>
  <c r="V471" i="6"/>
  <c r="V159" i="6"/>
  <c r="V200" i="6"/>
  <c r="V473" i="6"/>
  <c r="V130" i="6"/>
  <c r="V248" i="6"/>
  <c r="V197" i="6"/>
  <c r="V140" i="6"/>
  <c r="V204" i="6"/>
  <c r="V548" i="6"/>
  <c r="V550" i="6"/>
  <c r="V371" i="6"/>
  <c r="V263" i="6"/>
  <c r="V417" i="6"/>
  <c r="V355" i="6"/>
  <c r="V153" i="6"/>
  <c r="V173" i="6"/>
  <c r="V175" i="6"/>
  <c r="V199" i="6"/>
  <c r="V530" i="6"/>
  <c r="V519" i="6"/>
  <c r="V6" i="6"/>
  <c r="V373" i="6"/>
  <c r="V443" i="6"/>
  <c r="V256" i="6"/>
  <c r="V68" i="6"/>
  <c r="V369" i="6"/>
  <c r="V523" i="6"/>
  <c r="V176" i="6"/>
  <c r="V406" i="6"/>
  <c r="V165" i="6"/>
  <c r="V219" i="6"/>
  <c r="V452" i="6"/>
  <c r="V527" i="6"/>
  <c r="V557" i="6"/>
  <c r="V437" i="6"/>
  <c r="V409" i="6"/>
  <c r="V26" i="6"/>
  <c r="V387" i="6"/>
  <c r="V296" i="6"/>
  <c r="V112" i="6"/>
  <c r="V147" i="6"/>
  <c r="V58" i="6"/>
  <c r="V143" i="6"/>
  <c r="V148" i="6"/>
  <c r="V501" i="6"/>
  <c r="V277" i="6"/>
  <c r="V451" i="6"/>
  <c r="V104" i="6"/>
  <c r="V456" i="6"/>
  <c r="V83" i="6"/>
  <c r="V224" i="6"/>
  <c r="V431" i="6"/>
  <c r="V294" i="6"/>
  <c r="V323" i="6"/>
  <c r="V233" i="6"/>
  <c r="V333" i="6"/>
  <c r="V466" i="6"/>
  <c r="V232" i="6"/>
  <c r="V139" i="6"/>
  <c r="V567" i="6"/>
  <c r="V381" i="6"/>
  <c r="V270" i="6"/>
  <c r="V361" i="6"/>
  <c r="V74" i="6"/>
  <c r="V116" i="6"/>
  <c r="V280" i="6"/>
  <c r="V283" i="6"/>
  <c r="V31" i="6"/>
  <c r="V292" i="6"/>
  <c r="V279" i="6"/>
  <c r="V42" i="6"/>
  <c r="V157" i="6"/>
  <c r="V366" i="6"/>
  <c r="V531" i="6"/>
  <c r="V174" i="6"/>
  <c r="V158" i="6"/>
  <c r="V332" i="6"/>
  <c r="V66" i="6"/>
  <c r="V14" i="6"/>
  <c r="V185" i="6"/>
  <c r="V247" i="6"/>
  <c r="V486" i="6"/>
  <c r="V380" i="6"/>
  <c r="V249" i="6"/>
  <c r="V254" i="6"/>
  <c r="V507" i="6"/>
  <c r="V405" i="6"/>
  <c r="V310" i="6"/>
  <c r="V214" i="6"/>
  <c r="V484" i="6"/>
  <c r="V321" i="6"/>
  <c r="V111" i="6"/>
  <c r="V510" i="6"/>
  <c r="V427" i="6"/>
  <c r="V190" i="6"/>
  <c r="V123" i="6"/>
  <c r="V374" i="6"/>
  <c r="V384" i="6"/>
  <c r="V222" i="6"/>
  <c r="V257" i="6"/>
  <c r="V420" i="6"/>
  <c r="V404" i="6"/>
  <c r="V331" i="6"/>
  <c r="V305" i="6"/>
  <c r="V64" i="6"/>
  <c r="V179" i="6"/>
  <c r="V397" i="6"/>
  <c r="V408" i="6"/>
  <c r="V268" i="6"/>
  <c r="V468" i="6"/>
  <c r="V169" i="6"/>
  <c r="V327" i="6"/>
  <c r="V23" i="6"/>
  <c r="V242" i="6"/>
  <c r="V207" i="6"/>
  <c r="V284" i="6"/>
  <c r="V180" i="6"/>
  <c r="V245" i="6"/>
  <c r="V266" i="6"/>
  <c r="V96" i="6"/>
  <c r="V186" i="6"/>
  <c r="V311" i="6"/>
  <c r="V239" i="6"/>
  <c r="V259" i="6"/>
  <c r="V269" i="6"/>
  <c r="V40" i="6"/>
  <c r="V444" i="6"/>
  <c r="V485" i="6"/>
  <c r="V203" i="6"/>
  <c r="V435" i="6"/>
  <c r="V113" i="6"/>
  <c r="V319" i="6"/>
  <c r="V392" i="6"/>
  <c r="V481" i="6"/>
  <c r="V115" i="6"/>
  <c r="V227" i="6"/>
  <c r="V461" i="6"/>
  <c r="V89" i="6"/>
  <c r="V472" i="6"/>
  <c r="V109" i="6"/>
  <c r="V11" i="6"/>
  <c r="V324" i="6"/>
  <c r="V84" i="6"/>
  <c r="V276" i="6"/>
  <c r="V463" i="6"/>
  <c r="V457" i="6"/>
  <c r="V208" i="6"/>
  <c r="V358" i="6"/>
  <c r="V432" i="6"/>
  <c r="V149" i="6"/>
  <c r="V286" i="6"/>
  <c r="V36" i="6"/>
  <c r="V289" i="6"/>
  <c r="V529" i="6"/>
  <c r="V230" i="6"/>
  <c r="V433" i="6"/>
  <c r="V490" i="6"/>
  <c r="V306" i="6"/>
  <c r="V53" i="6"/>
  <c r="V205" i="6"/>
  <c r="V19" i="6"/>
  <c r="V144" i="6"/>
  <c r="V160" i="6"/>
  <c r="V524" i="6"/>
  <c r="V551" i="6"/>
  <c r="V428" i="6"/>
  <c r="V555" i="6"/>
  <c r="V477" i="6"/>
  <c r="V62" i="6"/>
  <c r="V450" i="6"/>
  <c r="V346" i="6"/>
  <c r="V81" i="6"/>
  <c r="V7" i="6"/>
  <c r="V120" i="6"/>
  <c r="V512" i="6"/>
  <c r="V69" i="6"/>
  <c r="V125" i="6"/>
  <c r="V421" i="6"/>
  <c r="V129" i="6"/>
  <c r="V122" i="6"/>
  <c r="V55" i="6"/>
  <c r="V32" i="6"/>
  <c r="V422" i="6"/>
  <c r="V494" i="6"/>
  <c r="V195" i="6"/>
  <c r="V100" i="6"/>
  <c r="V340" i="6"/>
  <c r="V85" i="6"/>
  <c r="V262" i="6"/>
  <c r="V70" i="6"/>
  <c r="V141" i="6"/>
  <c r="V105" i="6"/>
  <c r="V5" i="6"/>
  <c r="V455" i="6"/>
  <c r="V4" i="6"/>
  <c r="V172" i="6"/>
  <c r="V349" i="6"/>
  <c r="V282" i="6"/>
  <c r="V231" i="6"/>
  <c r="V166" i="6"/>
  <c r="V206" i="6"/>
  <c r="V462" i="6"/>
  <c r="V495" i="6"/>
  <c r="V390" i="6"/>
  <c r="V436" i="6"/>
  <c r="V309" i="6"/>
  <c r="V478" i="6"/>
  <c r="V460" i="6"/>
  <c r="V75" i="6"/>
  <c r="V264" i="6"/>
  <c r="V60" i="6"/>
  <c r="V225" i="6"/>
  <c r="V202" i="6"/>
  <c r="V65" i="6"/>
  <c r="V566" i="6"/>
  <c r="V465" i="6"/>
  <c r="V395" i="6"/>
  <c r="V252" i="6"/>
  <c r="V516" i="6"/>
  <c r="V80" i="6"/>
  <c r="V496" i="6"/>
  <c r="V94" i="6"/>
  <c r="V56" i="6"/>
  <c r="V474" i="6"/>
  <c r="V198" i="6"/>
  <c r="V412" i="6"/>
  <c r="V131" i="6"/>
  <c r="V138" i="6"/>
  <c r="V543" i="6"/>
  <c r="V15" i="6"/>
  <c r="V63" i="6"/>
  <c r="V514" i="6"/>
  <c r="V168" i="6"/>
  <c r="V469" i="6"/>
  <c r="V291" i="6"/>
  <c r="V34" i="6"/>
  <c r="V372" i="6"/>
  <c r="V509" i="6"/>
  <c r="V377" i="6"/>
  <c r="V439" i="6"/>
  <c r="V226" i="6"/>
  <c r="V367" i="6"/>
  <c r="V430" i="6"/>
  <c r="V401" i="6"/>
  <c r="V445" i="6"/>
  <c r="V376" i="6"/>
  <c r="V505" i="6"/>
  <c r="V528" i="6"/>
  <c r="V117" i="6"/>
  <c r="V167" i="6"/>
  <c r="V41" i="6"/>
  <c r="V142" i="6"/>
  <c r="V86" i="6"/>
  <c r="V215" i="6"/>
  <c r="V352" i="6"/>
  <c r="V499" i="6"/>
  <c r="V246" i="6"/>
  <c r="V394" i="6"/>
  <c r="V513" i="6"/>
  <c r="V554" i="6"/>
  <c r="V250" i="6"/>
  <c r="V518" i="6"/>
  <c r="V440" i="6"/>
  <c r="V511" i="6"/>
  <c r="V416" i="6"/>
  <c r="V298" i="6"/>
  <c r="V563" i="6"/>
  <c r="V72" i="6"/>
  <c r="V182" i="6"/>
  <c r="V497" i="6"/>
  <c r="V458" i="6"/>
  <c r="V338" i="6"/>
  <c r="V194" i="6"/>
  <c r="V318" i="6"/>
  <c r="V304" i="6"/>
  <c r="V537" i="6"/>
  <c r="V339" i="6"/>
  <c r="V106" i="6"/>
  <c r="V265" i="6"/>
  <c r="V51" i="6"/>
  <c r="V35" i="6"/>
  <c r="V525" i="6"/>
  <c r="V25" i="6"/>
  <c r="V536" i="6"/>
  <c r="V45" i="6"/>
  <c r="V234" i="6"/>
  <c r="V329" i="6"/>
  <c r="V308" i="6"/>
  <c r="V375" i="6"/>
  <c r="V558" i="6"/>
  <c r="V434" i="6"/>
  <c r="V16" i="6"/>
  <c r="V135" i="6"/>
  <c r="V560" i="6"/>
  <c r="V21" i="6"/>
  <c r="V253" i="6"/>
  <c r="V389" i="6"/>
  <c r="V161" i="6"/>
  <c r="V411" i="6"/>
  <c r="V102" i="6"/>
  <c r="V467" i="6"/>
  <c r="V188" i="6"/>
  <c r="V178" i="6"/>
  <c r="V177" i="6"/>
  <c r="V365" i="6"/>
  <c r="V285" i="6"/>
  <c r="V44" i="6"/>
  <c r="V218" i="6"/>
  <c r="V400" i="6"/>
  <c r="V255" i="6"/>
  <c r="V48" i="6"/>
  <c r="V299" i="6"/>
  <c r="V99" i="6"/>
  <c r="V549" i="6"/>
  <c r="V344" i="6"/>
  <c r="V314" i="6"/>
  <c r="S7" i="6"/>
  <c r="S17" i="6"/>
  <c r="S6" i="6"/>
  <c r="S20" i="6"/>
  <c r="S8" i="6"/>
  <c r="S261" i="6"/>
  <c r="S46" i="6"/>
  <c r="S197" i="6"/>
  <c r="S371" i="6"/>
  <c r="S317" i="6"/>
  <c r="S389" i="6"/>
  <c r="S558" i="6"/>
  <c r="S136" i="6"/>
  <c r="S81" i="6"/>
  <c r="S26" i="6"/>
  <c r="S538" i="6"/>
  <c r="S84" i="6"/>
  <c r="S213" i="6"/>
  <c r="S535" i="6"/>
  <c r="S502" i="6"/>
  <c r="S80" i="6"/>
  <c r="S25" i="6"/>
  <c r="S537" i="6"/>
  <c r="S482" i="6"/>
  <c r="S28" i="6"/>
  <c r="S540" i="6"/>
  <c r="S375" i="6"/>
  <c r="S254" i="6"/>
  <c r="S199" i="6"/>
  <c r="S344" i="6"/>
  <c r="S289" i="6"/>
  <c r="S234" i="6"/>
  <c r="S187" i="6"/>
  <c r="S292" i="6"/>
  <c r="S445" i="6"/>
  <c r="S483" i="6"/>
  <c r="S134" i="6"/>
  <c r="S79" i="6"/>
  <c r="S224" i="6"/>
  <c r="S169" i="6"/>
  <c r="S114" i="6"/>
  <c r="S67" i="6"/>
  <c r="S172" i="6"/>
  <c r="S565" i="6"/>
  <c r="S269" i="6"/>
  <c r="S398" i="6"/>
  <c r="S343" i="6"/>
  <c r="S488" i="6"/>
  <c r="S433" i="6"/>
  <c r="S378" i="6"/>
  <c r="S331" i="6"/>
  <c r="S436" i="6"/>
  <c r="S511" i="6"/>
  <c r="S461" i="6"/>
  <c r="S278" i="6"/>
  <c r="S223" i="6"/>
  <c r="S368" i="6"/>
  <c r="S313" i="6"/>
  <c r="S258" i="6"/>
  <c r="S211" i="6"/>
  <c r="S316" i="6"/>
  <c r="S509" i="6"/>
  <c r="S547" i="6"/>
  <c r="S222" i="6"/>
  <c r="S167" i="6"/>
  <c r="S312" i="6"/>
  <c r="S257" i="6"/>
  <c r="S202" i="6"/>
  <c r="S155" i="6"/>
  <c r="S260" i="6"/>
  <c r="S301" i="6"/>
  <c r="S93" i="6"/>
  <c r="S230" i="6"/>
  <c r="S175" i="6"/>
  <c r="S320" i="6"/>
  <c r="S265" i="6"/>
  <c r="S210" i="6"/>
  <c r="S163" i="6"/>
  <c r="S268" i="6"/>
  <c r="S365" i="6"/>
  <c r="S221" i="6"/>
  <c r="S110" i="6"/>
  <c r="S55" i="6"/>
  <c r="S200" i="6"/>
  <c r="S145" i="6"/>
  <c r="S90" i="6"/>
  <c r="S43" i="6"/>
  <c r="S148" i="6"/>
  <c r="S501" i="6"/>
  <c r="S77" i="6"/>
  <c r="S54" i="6"/>
  <c r="S566" i="6"/>
  <c r="S144" i="6"/>
  <c r="S89" i="6"/>
  <c r="S34" i="6"/>
  <c r="S546" i="6"/>
  <c r="S92" i="6"/>
  <c r="S277" i="6"/>
  <c r="S557" i="6"/>
  <c r="S318" i="6"/>
  <c r="S263" i="6"/>
  <c r="S408" i="6"/>
  <c r="S353" i="6"/>
  <c r="S298" i="6"/>
  <c r="S251" i="6"/>
  <c r="S356" i="6"/>
  <c r="S117" i="6"/>
  <c r="S495" i="6"/>
  <c r="S198" i="6"/>
  <c r="S143" i="6"/>
  <c r="S288" i="6"/>
  <c r="S233" i="6"/>
  <c r="S178" i="6"/>
  <c r="S131" i="6"/>
  <c r="S236" i="6"/>
  <c r="S109" i="6"/>
  <c r="S519" i="6"/>
  <c r="S462" i="6"/>
  <c r="S40" i="6"/>
  <c r="S552" i="6"/>
  <c r="S497" i="6"/>
  <c r="S442" i="6"/>
  <c r="S395" i="6"/>
  <c r="S500" i="6"/>
  <c r="S61" i="6"/>
  <c r="S342" i="6"/>
  <c r="S287" i="6"/>
  <c r="S432" i="6"/>
  <c r="S377" i="6"/>
  <c r="S322" i="6"/>
  <c r="S275" i="6"/>
  <c r="S380" i="6"/>
  <c r="S309" i="6"/>
  <c r="S507" i="6"/>
  <c r="S286" i="6"/>
  <c r="S231" i="6"/>
  <c r="S376" i="6"/>
  <c r="S321" i="6"/>
  <c r="S266" i="6"/>
  <c r="S219" i="6"/>
  <c r="S324" i="6"/>
  <c r="S531" i="6"/>
  <c r="S229" i="6"/>
  <c r="S294" i="6"/>
  <c r="S239" i="6"/>
  <c r="S384" i="6"/>
  <c r="S329" i="6"/>
  <c r="S274" i="6"/>
  <c r="S227" i="6"/>
  <c r="S332" i="6"/>
  <c r="S551" i="6"/>
  <c r="S485" i="6"/>
  <c r="S302" i="6"/>
  <c r="S174" i="6"/>
  <c r="S119" i="6"/>
  <c r="S264" i="6"/>
  <c r="S209" i="6"/>
  <c r="S154" i="6"/>
  <c r="S107" i="6"/>
  <c r="S212" i="6"/>
  <c r="S439" i="6"/>
  <c r="S455" i="6"/>
  <c r="S118" i="6"/>
  <c r="S63" i="6"/>
  <c r="S208" i="6"/>
  <c r="S153" i="6"/>
  <c r="S98" i="6"/>
  <c r="S51" i="6"/>
  <c r="S156" i="6"/>
  <c r="S523" i="6"/>
  <c r="S141" i="6"/>
  <c r="S382" i="6"/>
  <c r="S327" i="6"/>
  <c r="S472" i="6"/>
  <c r="S417" i="6"/>
  <c r="S362" i="6"/>
  <c r="S315" i="6"/>
  <c r="S420" i="6"/>
  <c r="S469" i="6"/>
  <c r="S421" i="6"/>
  <c r="S262" i="6"/>
  <c r="S207" i="6"/>
  <c r="S352" i="6"/>
  <c r="S297" i="6"/>
  <c r="S242" i="6"/>
  <c r="S195" i="6"/>
  <c r="S300" i="6"/>
  <c r="S467" i="6"/>
  <c r="S165" i="6"/>
  <c r="S14" i="6"/>
  <c r="S526" i="6"/>
  <c r="S104" i="6"/>
  <c r="S49" i="6"/>
  <c r="S561" i="6"/>
  <c r="S506" i="6"/>
  <c r="S52" i="6"/>
  <c r="S564" i="6"/>
  <c r="S451" i="6"/>
  <c r="S406" i="6"/>
  <c r="S351" i="6"/>
  <c r="S496" i="6"/>
  <c r="S441" i="6"/>
  <c r="S386" i="6"/>
  <c r="S339" i="6"/>
  <c r="S444" i="6"/>
  <c r="S533" i="6"/>
  <c r="S37" i="6"/>
  <c r="S350" i="6"/>
  <c r="S295" i="6"/>
  <c r="S440" i="6"/>
  <c r="S385" i="6"/>
  <c r="S330" i="6"/>
  <c r="S283" i="6"/>
  <c r="S388" i="6"/>
  <c r="S373" i="6"/>
  <c r="S567" i="6"/>
  <c r="S358" i="6"/>
  <c r="S303" i="6"/>
  <c r="S448" i="6"/>
  <c r="S393" i="6"/>
  <c r="S338" i="6"/>
  <c r="S291" i="6"/>
  <c r="S396" i="6"/>
  <c r="S405" i="6"/>
  <c r="S397" i="6"/>
  <c r="S238" i="6"/>
  <c r="S183" i="6"/>
  <c r="S328" i="6"/>
  <c r="S273" i="6"/>
  <c r="S218" i="6"/>
  <c r="S171" i="6"/>
  <c r="S276" i="6"/>
  <c r="S399" i="6"/>
  <c r="S349" i="6"/>
  <c r="S182" i="6"/>
  <c r="S127" i="6"/>
  <c r="S272" i="6"/>
  <c r="S217" i="6"/>
  <c r="S162" i="6"/>
  <c r="S115" i="6"/>
  <c r="S220" i="6"/>
  <c r="S503" i="6"/>
  <c r="S477" i="6"/>
  <c r="S446" i="6"/>
  <c r="S24" i="6"/>
  <c r="S536" i="6"/>
  <c r="S481" i="6"/>
  <c r="S426" i="6"/>
  <c r="S379" i="6"/>
  <c r="S484" i="6"/>
  <c r="S411" i="6"/>
  <c r="S326" i="6"/>
  <c r="S271" i="6"/>
  <c r="S416" i="6"/>
  <c r="S361" i="6"/>
  <c r="S306" i="6"/>
  <c r="S259" i="6"/>
  <c r="S364" i="6"/>
  <c r="S181" i="6"/>
  <c r="S559" i="6"/>
  <c r="S78" i="6"/>
  <c r="S23" i="6"/>
  <c r="S168" i="6"/>
  <c r="S113" i="6"/>
  <c r="S58" i="6"/>
  <c r="S11" i="6"/>
  <c r="S116" i="6"/>
  <c r="S415" i="6"/>
  <c r="S381" i="6"/>
  <c r="S470" i="6"/>
  <c r="S48" i="6"/>
  <c r="S560" i="6"/>
  <c r="S505" i="6"/>
  <c r="S450" i="6"/>
  <c r="S403" i="6"/>
  <c r="S508" i="6"/>
  <c r="S125" i="6"/>
  <c r="S414" i="6"/>
  <c r="S359" i="6"/>
  <c r="S504" i="6"/>
  <c r="S449" i="6"/>
  <c r="S394" i="6"/>
  <c r="S347" i="6"/>
  <c r="S452" i="6"/>
  <c r="S555" i="6"/>
  <c r="S443" i="6"/>
  <c r="S422" i="6"/>
  <c r="S367" i="6"/>
  <c r="S512" i="6"/>
  <c r="S457" i="6"/>
  <c r="S402" i="6"/>
  <c r="S355" i="6"/>
  <c r="S460" i="6"/>
  <c r="S5" i="6"/>
  <c r="S527" i="6"/>
  <c r="S247" i="6"/>
  <c r="S392" i="6"/>
  <c r="S337" i="6"/>
  <c r="S282" i="6"/>
  <c r="S235" i="6"/>
  <c r="S340" i="6"/>
  <c r="S325" i="6"/>
  <c r="S549" i="6"/>
  <c r="S246" i="6"/>
  <c r="S191" i="6"/>
  <c r="S336" i="6"/>
  <c r="S281" i="6"/>
  <c r="S226" i="6"/>
  <c r="S179" i="6"/>
  <c r="S284" i="6"/>
  <c r="S423" i="6"/>
  <c r="S419" i="6"/>
  <c r="S510" i="6"/>
  <c r="S88" i="6"/>
  <c r="S33" i="6"/>
  <c r="S545" i="6"/>
  <c r="S490" i="6"/>
  <c r="S36" i="6"/>
  <c r="S548" i="6"/>
  <c r="S407" i="6"/>
  <c r="S390" i="6"/>
  <c r="S335" i="6"/>
  <c r="S480" i="6"/>
  <c r="S425" i="6"/>
  <c r="S370" i="6"/>
  <c r="S323" i="6"/>
  <c r="S428" i="6"/>
  <c r="S491" i="6"/>
  <c r="S525" i="6"/>
  <c r="S142" i="6"/>
  <c r="S87" i="6"/>
  <c r="S232" i="6"/>
  <c r="S177" i="6"/>
  <c r="S122" i="6"/>
  <c r="S75" i="6"/>
  <c r="S180" i="6"/>
  <c r="S29" i="6"/>
  <c r="S333" i="6"/>
  <c r="S22" i="6"/>
  <c r="S534" i="6"/>
  <c r="S112" i="6"/>
  <c r="S57" i="6"/>
  <c r="S569" i="6"/>
  <c r="S514" i="6"/>
  <c r="S60" i="6"/>
  <c r="S21" i="6"/>
  <c r="S471" i="6"/>
  <c r="S478" i="6"/>
  <c r="S56" i="6"/>
  <c r="S568" i="6"/>
  <c r="S513" i="6"/>
  <c r="S458" i="6"/>
  <c r="S4" i="6"/>
  <c r="S516" i="6"/>
  <c r="S189" i="6"/>
  <c r="S486" i="6"/>
  <c r="S64" i="6"/>
  <c r="S9" i="6"/>
  <c r="S521" i="6"/>
  <c r="S466" i="6"/>
  <c r="S12" i="6"/>
  <c r="S524" i="6"/>
  <c r="S253" i="6"/>
  <c r="S311" i="6"/>
  <c r="S456" i="6"/>
  <c r="S401" i="6"/>
  <c r="S346" i="6"/>
  <c r="S299" i="6"/>
  <c r="S404" i="6"/>
  <c r="S427" i="6"/>
  <c r="S517" i="6"/>
  <c r="S310" i="6"/>
  <c r="S255" i="6"/>
  <c r="S400" i="6"/>
  <c r="S345" i="6"/>
  <c r="S290" i="6"/>
  <c r="S243" i="6"/>
  <c r="S348" i="6"/>
  <c r="S53" i="6"/>
  <c r="S293" i="6"/>
  <c r="S62" i="6"/>
  <c r="S152" i="6"/>
  <c r="S97" i="6"/>
  <c r="S42" i="6"/>
  <c r="S554" i="6"/>
  <c r="S100" i="6"/>
  <c r="S341" i="6"/>
  <c r="S69" i="6"/>
  <c r="S454" i="6"/>
  <c r="S32" i="6"/>
  <c r="S544" i="6"/>
  <c r="S489" i="6"/>
  <c r="S434" i="6"/>
  <c r="S387" i="6"/>
  <c r="S492" i="6"/>
  <c r="S453" i="6"/>
  <c r="S206" i="6"/>
  <c r="S151" i="6"/>
  <c r="S296" i="6"/>
  <c r="S241" i="6"/>
  <c r="S186" i="6"/>
  <c r="S139" i="6"/>
  <c r="S244" i="6"/>
  <c r="S173" i="6"/>
  <c r="S541" i="6"/>
  <c r="S86" i="6"/>
  <c r="S31" i="6"/>
  <c r="S176" i="6"/>
  <c r="S121" i="6"/>
  <c r="S66" i="6"/>
  <c r="S19" i="6"/>
  <c r="S124" i="6"/>
  <c r="S437" i="6"/>
  <c r="S431" i="6"/>
  <c r="S30" i="6"/>
  <c r="S542" i="6"/>
  <c r="S120" i="6"/>
  <c r="S65" i="6"/>
  <c r="S10" i="6"/>
  <c r="S522" i="6"/>
  <c r="S68" i="6"/>
  <c r="S85" i="6"/>
  <c r="S493" i="6"/>
  <c r="S38" i="6"/>
  <c r="S550" i="6"/>
  <c r="S128" i="6"/>
  <c r="S73" i="6"/>
  <c r="S18" i="6"/>
  <c r="S530" i="6"/>
  <c r="S76" i="6"/>
  <c r="S149" i="6"/>
  <c r="S515" i="6"/>
  <c r="S366" i="6"/>
  <c r="S430" i="6"/>
  <c r="S520" i="6"/>
  <c r="S465" i="6"/>
  <c r="S410" i="6"/>
  <c r="S363" i="6"/>
  <c r="S468" i="6"/>
  <c r="S133" i="6"/>
  <c r="S101" i="6"/>
  <c r="S374" i="6"/>
  <c r="S319" i="6"/>
  <c r="S464" i="6"/>
  <c r="S409" i="6"/>
  <c r="S354" i="6"/>
  <c r="S307" i="6"/>
  <c r="S412" i="6"/>
  <c r="S447" i="6"/>
  <c r="S539" i="6"/>
  <c r="S126" i="6"/>
  <c r="S71" i="6"/>
  <c r="S216" i="6"/>
  <c r="S161" i="6"/>
  <c r="S106" i="6"/>
  <c r="S59" i="6"/>
  <c r="S164" i="6"/>
  <c r="S543" i="6"/>
  <c r="S205" i="6"/>
  <c r="S518" i="6"/>
  <c r="S96" i="6"/>
  <c r="S41" i="6"/>
  <c r="S553" i="6"/>
  <c r="S498" i="6"/>
  <c r="S44" i="6"/>
  <c r="S556" i="6"/>
  <c r="S429" i="6"/>
  <c r="S270" i="6"/>
  <c r="S215" i="6"/>
  <c r="S360" i="6"/>
  <c r="S305" i="6"/>
  <c r="S250" i="6"/>
  <c r="S203" i="6"/>
  <c r="S308" i="6"/>
  <c r="S487" i="6"/>
  <c r="S463" i="6"/>
  <c r="S150" i="6"/>
  <c r="S95" i="6"/>
  <c r="S240" i="6"/>
  <c r="S185" i="6"/>
  <c r="S130" i="6"/>
  <c r="S83" i="6"/>
  <c r="S188" i="6"/>
  <c r="S157" i="6"/>
  <c r="S383" i="6"/>
  <c r="S94" i="6"/>
  <c r="S39" i="6"/>
  <c r="S184" i="6"/>
  <c r="S129" i="6"/>
  <c r="S74" i="6"/>
  <c r="S27" i="6"/>
  <c r="S132" i="6"/>
  <c r="S459" i="6"/>
  <c r="S475" i="6"/>
  <c r="S102" i="6"/>
  <c r="S47" i="6"/>
  <c r="S192" i="6"/>
  <c r="S137" i="6"/>
  <c r="S82" i="6"/>
  <c r="S35" i="6"/>
  <c r="S140" i="6"/>
  <c r="S479" i="6"/>
  <c r="S13" i="6"/>
  <c r="S494" i="6"/>
  <c r="S72" i="6"/>
  <c r="S529" i="6"/>
  <c r="S474" i="6"/>
  <c r="S532" i="6"/>
  <c r="S438" i="6"/>
  <c r="S16" i="6"/>
  <c r="S528" i="6"/>
  <c r="S473" i="6"/>
  <c r="S418" i="6"/>
  <c r="S476" i="6"/>
  <c r="S190" i="6"/>
  <c r="S135" i="6"/>
  <c r="S280" i="6"/>
  <c r="S225" i="6"/>
  <c r="S170" i="6"/>
  <c r="S123" i="6"/>
  <c r="S228" i="6"/>
  <c r="S45" i="6"/>
  <c r="S499" i="6"/>
  <c r="S70" i="6"/>
  <c r="S15" i="6"/>
  <c r="S160" i="6"/>
  <c r="S105" i="6"/>
  <c r="S50" i="6"/>
  <c r="S562" i="6"/>
  <c r="S108" i="6"/>
  <c r="S334" i="6"/>
  <c r="S279" i="6"/>
  <c r="S424" i="6"/>
  <c r="S369" i="6"/>
  <c r="S314" i="6"/>
  <c r="S267" i="6"/>
  <c r="S372" i="6"/>
  <c r="S245" i="6"/>
  <c r="S357" i="6"/>
  <c r="S214" i="6"/>
  <c r="S159" i="6"/>
  <c r="S304" i="6"/>
  <c r="S249" i="6"/>
  <c r="S194" i="6"/>
  <c r="S147" i="6"/>
  <c r="S252" i="6"/>
  <c r="S237" i="6"/>
  <c r="S563" i="6"/>
  <c r="S158" i="6"/>
  <c r="S103" i="6"/>
  <c r="S248" i="6"/>
  <c r="S193" i="6"/>
  <c r="S138" i="6"/>
  <c r="S91" i="6"/>
  <c r="S196" i="6"/>
  <c r="S285" i="6"/>
  <c r="S413" i="6"/>
  <c r="S166" i="6"/>
  <c r="S111" i="6"/>
  <c r="S256" i="6"/>
  <c r="S201" i="6"/>
  <c r="S146" i="6"/>
  <c r="S99" i="6"/>
  <c r="S204" i="6"/>
  <c r="S391" i="6"/>
  <c r="S435" i="6"/>
  <c r="G6" i="11"/>
  <c r="F6" i="11"/>
  <c r="G30" i="11"/>
  <c r="F30" i="11"/>
  <c r="G18" i="11"/>
  <c r="F18" i="11"/>
  <c r="G10" i="11"/>
  <c r="F10" i="11"/>
  <c r="F33" i="11"/>
  <c r="G33" i="11"/>
  <c r="F21" i="11"/>
  <c r="G21" i="11"/>
  <c r="F13" i="11"/>
  <c r="G13" i="11"/>
  <c r="F9" i="11"/>
  <c r="G9" i="11"/>
  <c r="G34" i="11"/>
  <c r="F34" i="11"/>
  <c r="G22" i="11"/>
  <c r="F22" i="11"/>
  <c r="F29" i="11"/>
  <c r="G29" i="11"/>
  <c r="F17" i="11"/>
  <c r="G17" i="11"/>
  <c r="F32" i="11"/>
  <c r="G32" i="11"/>
  <c r="F20" i="11"/>
  <c r="G20" i="11"/>
  <c r="F12" i="11"/>
  <c r="G12" i="11"/>
  <c r="G38" i="11"/>
  <c r="F38" i="11"/>
  <c r="G26" i="11"/>
  <c r="F26" i="11"/>
  <c r="G14" i="11"/>
  <c r="F14" i="11"/>
  <c r="F25" i="11"/>
  <c r="G25" i="11"/>
  <c r="F36" i="11"/>
  <c r="G36" i="11"/>
  <c r="F28" i="11"/>
  <c r="G28" i="11"/>
  <c r="F24" i="11"/>
  <c r="G24" i="11"/>
  <c r="F16" i="11"/>
  <c r="G16" i="11"/>
  <c r="F8" i="11"/>
  <c r="G8" i="11"/>
  <c r="G39" i="11"/>
  <c r="F39" i="11"/>
  <c r="G35" i="11"/>
  <c r="F35" i="11"/>
  <c r="G31" i="11"/>
  <c r="F31" i="11"/>
  <c r="G27" i="11"/>
  <c r="F27" i="11"/>
  <c r="G23" i="11"/>
  <c r="F23" i="11"/>
  <c r="G19" i="11"/>
  <c r="F19" i="11"/>
  <c r="G15" i="11"/>
  <c r="F15" i="11"/>
  <c r="G11" i="11"/>
  <c r="F11" i="11"/>
  <c r="G7" i="11"/>
  <c r="F7" i="11"/>
  <c r="F5" i="11"/>
  <c r="G5" i="11"/>
  <c r="L17" i="11" l="1"/>
  <c r="L28" i="11"/>
  <c r="I17" i="11"/>
  <c r="I42" i="11"/>
  <c r="J42" i="11" s="1"/>
  <c r="L43" i="11"/>
  <c r="M43" i="11" s="1"/>
  <c r="I43" i="11"/>
  <c r="L42" i="11"/>
  <c r="L41" i="11"/>
  <c r="M41" i="11" s="1"/>
  <c r="I41" i="11"/>
  <c r="L40" i="11"/>
  <c r="I40" i="11"/>
  <c r="J40" i="11" s="1"/>
  <c r="I39" i="11"/>
  <c r="L38" i="11"/>
  <c r="L37" i="11"/>
  <c r="M37" i="11" s="1"/>
  <c r="I37" i="11"/>
  <c r="L36" i="11"/>
  <c r="I36" i="11"/>
  <c r="L35" i="11"/>
  <c r="I35" i="11"/>
  <c r="L34" i="11"/>
  <c r="L32" i="11"/>
  <c r="I32" i="11"/>
  <c r="L31" i="11"/>
  <c r="I31" i="11"/>
  <c r="L30" i="11"/>
  <c r="I28" i="11"/>
  <c r="L27" i="11"/>
  <c r="I27" i="11"/>
  <c r="L26" i="11"/>
  <c r="L24" i="11"/>
  <c r="I24" i="11"/>
  <c r="L23" i="11"/>
  <c r="I23" i="11"/>
  <c r="L22" i="11"/>
  <c r="I21" i="11"/>
  <c r="L21" i="11"/>
  <c r="L20" i="11"/>
  <c r="I20" i="11"/>
  <c r="L19" i="11"/>
  <c r="I19" i="11"/>
  <c r="L16" i="11"/>
  <c r="I15" i="11"/>
  <c r="L13" i="11"/>
  <c r="L12" i="11"/>
  <c r="L11" i="11"/>
  <c r="I11" i="11"/>
  <c r="I9" i="11"/>
  <c r="L9" i="11"/>
  <c r="L8" i="11"/>
  <c r="I8" i="11"/>
  <c r="L7" i="11"/>
  <c r="I7" i="11"/>
  <c r="I5" i="11"/>
  <c r="L5" i="11"/>
  <c r="L4" i="11"/>
  <c r="I4" i="11"/>
  <c r="J4" i="11" s="1"/>
  <c r="L3" i="11"/>
  <c r="F18" i="9"/>
  <c r="M18" i="9" s="1"/>
  <c r="N18" i="9" s="1"/>
  <c r="D18" i="9"/>
  <c r="G18" i="9" s="1"/>
  <c r="P18" i="9" s="1"/>
  <c r="G17" i="9"/>
  <c r="P17" i="9" s="1"/>
  <c r="Q17" i="9" s="1"/>
  <c r="D17" i="9"/>
  <c r="F17" i="9" s="1"/>
  <c r="M17" i="9" s="1"/>
  <c r="F16" i="9"/>
  <c r="M16" i="9" s="1"/>
  <c r="N16" i="9" s="1"/>
  <c r="D16" i="9"/>
  <c r="G16" i="9" s="1"/>
  <c r="P16" i="9" s="1"/>
  <c r="G15" i="9"/>
  <c r="P15" i="9" s="1"/>
  <c r="Q15" i="9" s="1"/>
  <c r="D15" i="9"/>
  <c r="F15" i="9" s="1"/>
  <c r="M15" i="9" s="1"/>
  <c r="F14" i="9"/>
  <c r="M14" i="9" s="1"/>
  <c r="N14" i="9" s="1"/>
  <c r="D14" i="9"/>
  <c r="G14" i="9" s="1"/>
  <c r="P14" i="9" s="1"/>
  <c r="D13" i="9"/>
  <c r="F13" i="9" s="1"/>
  <c r="M13" i="9" s="1"/>
  <c r="D12" i="9"/>
  <c r="G12" i="9" s="1"/>
  <c r="P12" i="9" s="1"/>
  <c r="G11" i="9"/>
  <c r="P11" i="9" s="1"/>
  <c r="Q11" i="9" s="1"/>
  <c r="D11" i="9"/>
  <c r="F11" i="9" s="1"/>
  <c r="M11" i="9" s="1"/>
  <c r="D10" i="9"/>
  <c r="G10" i="9" s="1"/>
  <c r="P10" i="9" s="1"/>
  <c r="D9" i="9"/>
  <c r="F9" i="9" s="1"/>
  <c r="M9" i="9" s="1"/>
  <c r="D8" i="9"/>
  <c r="G8" i="9" s="1"/>
  <c r="P8" i="9" s="1"/>
  <c r="D7" i="9"/>
  <c r="G7" i="9" s="1"/>
  <c r="P7" i="9" s="1"/>
  <c r="D6" i="9"/>
  <c r="G6" i="9" s="1"/>
  <c r="P6" i="9" s="1"/>
  <c r="D5" i="9"/>
  <c r="F5" i="9" s="1"/>
  <c r="M5" i="9" s="1"/>
  <c r="F4" i="9"/>
  <c r="M4" i="9" s="1"/>
  <c r="N4" i="9" s="1"/>
  <c r="D4" i="9"/>
  <c r="G4" i="9" s="1"/>
  <c r="P4" i="9" s="1"/>
  <c r="F3" i="9"/>
  <c r="D3" i="9"/>
  <c r="G3" i="9" s="1"/>
  <c r="M3" i="9" l="1"/>
  <c r="N3" i="9" s="1"/>
  <c r="P3" i="9"/>
  <c r="Q3" i="9" s="1"/>
  <c r="M4" i="11"/>
  <c r="J5" i="11"/>
  <c r="M5" i="11"/>
  <c r="M3" i="11"/>
  <c r="N5" i="9"/>
  <c r="O4" i="9" s="1"/>
  <c r="Q4" i="9"/>
  <c r="F12" i="9"/>
  <c r="M12" i="9" s="1"/>
  <c r="G9" i="9"/>
  <c r="P9" i="9" s="1"/>
  <c r="G5" i="9"/>
  <c r="P5" i="9" s="1"/>
  <c r="Q5" i="9" s="1"/>
  <c r="F8" i="9"/>
  <c r="M8" i="9" s="1"/>
  <c r="L39" i="11"/>
  <c r="I16" i="11"/>
  <c r="L15" i="11"/>
  <c r="I13" i="11"/>
  <c r="I12" i="11"/>
  <c r="G13" i="9"/>
  <c r="P13" i="9" s="1"/>
  <c r="L33" i="11"/>
  <c r="I33" i="11"/>
  <c r="I25" i="11"/>
  <c r="L25" i="11"/>
  <c r="L14" i="11"/>
  <c r="I14" i="11"/>
  <c r="L18" i="11"/>
  <c r="I18" i="11"/>
  <c r="L29" i="11"/>
  <c r="I29" i="11"/>
  <c r="I22" i="11"/>
  <c r="I26" i="11"/>
  <c r="I30" i="11"/>
  <c r="I34" i="11"/>
  <c r="I38" i="11"/>
  <c r="F7" i="9"/>
  <c r="M7" i="9" s="1"/>
  <c r="F6" i="9"/>
  <c r="F10" i="9"/>
  <c r="M10" i="9" s="1"/>
  <c r="M4" i="6"/>
  <c r="GD22" i="1"/>
  <c r="GD23" i="1" s="1"/>
  <c r="K4" i="6"/>
  <c r="GC6" i="1" l="1"/>
  <c r="GD6" i="1"/>
  <c r="Q18" i="9"/>
  <c r="R4" i="9"/>
  <c r="Q16" i="9"/>
  <c r="Q10" i="9"/>
  <c r="Q13" i="9"/>
  <c r="Q9" i="9"/>
  <c r="Q14" i="9"/>
  <c r="Q6" i="9"/>
  <c r="R5" i="9"/>
  <c r="Q7" i="9"/>
  <c r="Q12" i="9"/>
  <c r="Q8" i="9"/>
  <c r="R18" i="9" s="1"/>
  <c r="M6" i="9"/>
  <c r="N7" i="9" s="1"/>
  <c r="GD28" i="1"/>
  <c r="GD29" i="1" s="1"/>
  <c r="I10" i="11"/>
  <c r="L10" i="11"/>
  <c r="I6" i="11"/>
  <c r="L6" i="11"/>
  <c r="J34" i="11" l="1"/>
  <c r="M39" i="11"/>
  <c r="M15" i="11"/>
  <c r="J35" i="11"/>
  <c r="J24" i="11"/>
  <c r="J20" i="11"/>
  <c r="J31" i="11"/>
  <c r="J39" i="11"/>
  <c r="J17" i="11"/>
  <c r="J8" i="11"/>
  <c r="J36" i="11"/>
  <c r="J9" i="11"/>
  <c r="J15" i="11"/>
  <c r="J7" i="11"/>
  <c r="J11" i="11"/>
  <c r="J41" i="11"/>
  <c r="J19" i="11"/>
  <c r="J37" i="11"/>
  <c r="J32" i="11"/>
  <c r="J21" i="11"/>
  <c r="J23" i="11"/>
  <c r="J43" i="11"/>
  <c r="J13" i="11"/>
  <c r="J22" i="11"/>
  <c r="J38" i="11"/>
  <c r="J33" i="11"/>
  <c r="J18" i="11"/>
  <c r="J16" i="11"/>
  <c r="J25" i="11"/>
  <c r="J10" i="11"/>
  <c r="J14" i="11"/>
  <c r="J12" i="11"/>
  <c r="J26" i="11"/>
  <c r="M33" i="11"/>
  <c r="M21" i="11"/>
  <c r="M23" i="11"/>
  <c r="M40" i="11"/>
  <c r="M19" i="11"/>
  <c r="M16" i="11"/>
  <c r="M32" i="11"/>
  <c r="M13" i="11"/>
  <c r="M12" i="11"/>
  <c r="M26" i="11"/>
  <c r="M17" i="11"/>
  <c r="M31" i="11"/>
  <c r="M34" i="11"/>
  <c r="M11" i="11"/>
  <c r="M36" i="11"/>
  <c r="M7" i="11"/>
  <c r="M22" i="11"/>
  <c r="M28" i="11"/>
  <c r="M27" i="11"/>
  <c r="M20" i="11"/>
  <c r="M38" i="11"/>
  <c r="M42" i="11"/>
  <c r="M24" i="11"/>
  <c r="M8" i="11"/>
  <c r="M9" i="11"/>
  <c r="M35" i="11"/>
  <c r="M30" i="11"/>
  <c r="M25" i="11"/>
  <c r="M14" i="11"/>
  <c r="M10" i="11"/>
  <c r="M29" i="11"/>
  <c r="M18" i="11"/>
  <c r="M6" i="11"/>
  <c r="M44" i="11"/>
  <c r="J6" i="11"/>
  <c r="J27" i="11"/>
  <c r="J28" i="11"/>
  <c r="J29" i="11"/>
  <c r="J30" i="11"/>
  <c r="R15" i="9"/>
  <c r="R11" i="9"/>
  <c r="R16" i="9"/>
  <c r="R7" i="9"/>
  <c r="R17" i="9"/>
  <c r="R3" i="9"/>
  <c r="R13" i="9"/>
  <c r="R8" i="9"/>
  <c r="R12" i="9"/>
  <c r="R14" i="9"/>
  <c r="R9" i="9"/>
  <c r="R6" i="9"/>
  <c r="R10" i="9"/>
  <c r="N8" i="9"/>
  <c r="N6" i="9"/>
  <c r="N9" i="9"/>
  <c r="N11" i="9"/>
  <c r="N15" i="9"/>
  <c r="N17" i="9"/>
  <c r="N13" i="9"/>
  <c r="N12" i="9"/>
  <c r="N10" i="9"/>
  <c r="M164" i="6"/>
  <c r="M167" i="6"/>
  <c r="M169" i="6"/>
  <c r="M327" i="6"/>
  <c r="M325" i="6"/>
  <c r="M322" i="6"/>
  <c r="M138" i="6"/>
  <c r="M141" i="6"/>
  <c r="M143" i="6"/>
  <c r="M539" i="6"/>
  <c r="M537" i="6"/>
  <c r="M534" i="6"/>
  <c r="M428" i="6"/>
  <c r="M431" i="6"/>
  <c r="M433" i="6"/>
  <c r="K301" i="6"/>
  <c r="M299" i="6"/>
  <c r="M296" i="6"/>
  <c r="K117" i="6"/>
  <c r="M115" i="6"/>
  <c r="K112" i="6"/>
  <c r="M513" i="6"/>
  <c r="M511" i="6"/>
  <c r="M508" i="6"/>
  <c r="M407" i="6"/>
  <c r="M405" i="6"/>
  <c r="M402" i="6"/>
  <c r="M275" i="6"/>
  <c r="M273" i="6"/>
  <c r="M270" i="6"/>
  <c r="M244" i="6"/>
  <c r="M247" i="6"/>
  <c r="M249" i="6"/>
  <c r="K58" i="6"/>
  <c r="M61" i="6"/>
  <c r="M63" i="6"/>
  <c r="M459" i="6"/>
  <c r="M457" i="6"/>
  <c r="M454" i="6"/>
  <c r="M353" i="6"/>
  <c r="M351" i="6"/>
  <c r="M348" i="6"/>
  <c r="M195" i="6"/>
  <c r="M193" i="6"/>
  <c r="M190" i="6"/>
  <c r="M94" i="6"/>
  <c r="M92" i="6"/>
  <c r="M90" i="6"/>
  <c r="K89" i="6"/>
  <c r="M490" i="6"/>
  <c r="M488" i="6"/>
  <c r="M485" i="6"/>
  <c r="M384" i="6"/>
  <c r="M382" i="6"/>
  <c r="M379" i="6"/>
  <c r="M226" i="6"/>
  <c r="M224" i="6"/>
  <c r="M221" i="6"/>
  <c r="K24" i="11" l="1"/>
  <c r="K33" i="11"/>
  <c r="K38" i="11"/>
  <c r="K44" i="11"/>
  <c r="K19" i="11"/>
  <c r="K5" i="11"/>
  <c r="K9" i="11"/>
  <c r="K14" i="11"/>
  <c r="K36" i="11"/>
  <c r="K7" i="11"/>
  <c r="K25" i="11"/>
  <c r="K30" i="11"/>
  <c r="K23" i="11"/>
  <c r="K35" i="11"/>
  <c r="K15" i="11"/>
  <c r="K29" i="11"/>
  <c r="K40" i="11"/>
  <c r="K11" i="11"/>
  <c r="K4" i="11"/>
  <c r="K39" i="11"/>
  <c r="K10" i="11"/>
  <c r="K16" i="11"/>
  <c r="K37" i="11"/>
  <c r="K27" i="11"/>
  <c r="K34" i="11"/>
  <c r="K3" i="11"/>
  <c r="K31" i="11"/>
  <c r="K43" i="11"/>
  <c r="K12" i="11"/>
  <c r="K21" i="11"/>
  <c r="K26" i="11"/>
  <c r="K32" i="11"/>
  <c r="K41" i="11"/>
  <c r="K6" i="11"/>
  <c r="K13" i="11"/>
  <c r="K18" i="11"/>
  <c r="K8" i="11"/>
  <c r="K17" i="11"/>
  <c r="K22" i="11"/>
  <c r="K28" i="11"/>
  <c r="K42" i="11"/>
  <c r="K20" i="11"/>
  <c r="N35" i="11"/>
  <c r="N36" i="11"/>
  <c r="N37" i="11"/>
  <c r="N23" i="11"/>
  <c r="N24" i="11"/>
  <c r="N25" i="11"/>
  <c r="N10" i="11"/>
  <c r="N43" i="11"/>
  <c r="N44" i="11"/>
  <c r="N15" i="11"/>
  <c r="N18" i="11"/>
  <c r="N38" i="11"/>
  <c r="N40" i="11"/>
  <c r="N33" i="11"/>
  <c r="N34" i="11"/>
  <c r="N4" i="11"/>
  <c r="N17" i="11"/>
  <c r="N26" i="11"/>
  <c r="N11" i="11"/>
  <c r="N13" i="11"/>
  <c r="N8" i="11"/>
  <c r="N27" i="11"/>
  <c r="N42" i="11"/>
  <c r="N14" i="11"/>
  <c r="N39" i="11"/>
  <c r="N41" i="11"/>
  <c r="N30" i="11"/>
  <c r="N6" i="11"/>
  <c r="N19" i="11"/>
  <c r="N20" i="11"/>
  <c r="N7" i="11"/>
  <c r="N9" i="11"/>
  <c r="N28" i="11"/>
  <c r="N3" i="11"/>
  <c r="N5" i="11"/>
  <c r="N22" i="11"/>
  <c r="N31" i="11"/>
  <c r="N12" i="11"/>
  <c r="N32" i="11"/>
  <c r="N21" i="11"/>
  <c r="N16" i="11"/>
  <c r="N29" i="11"/>
  <c r="O18" i="9"/>
  <c r="O11" i="9"/>
  <c r="O14" i="9"/>
  <c r="O5" i="9"/>
  <c r="O6" i="9"/>
  <c r="O15" i="9"/>
  <c r="O9" i="9"/>
  <c r="O3" i="9"/>
  <c r="O8" i="9"/>
  <c r="O12" i="9"/>
  <c r="O13" i="9"/>
  <c r="O7" i="9"/>
  <c r="O16" i="9"/>
  <c r="O10" i="9"/>
  <c r="O17" i="9"/>
  <c r="K164" i="6"/>
  <c r="K167" i="6"/>
  <c r="K169" i="6"/>
  <c r="K322" i="6"/>
  <c r="K327" i="6"/>
  <c r="K325" i="6"/>
  <c r="K138" i="6"/>
  <c r="K141" i="6"/>
  <c r="K143" i="6"/>
  <c r="K539" i="6"/>
  <c r="K534" i="6"/>
  <c r="K537" i="6"/>
  <c r="K428" i="6"/>
  <c r="K431" i="6"/>
  <c r="K433" i="6"/>
  <c r="M301" i="6"/>
  <c r="K299" i="6"/>
  <c r="K296" i="6"/>
  <c r="M117" i="6"/>
  <c r="M112" i="6"/>
  <c r="K115" i="6"/>
  <c r="K513" i="6"/>
  <c r="K511" i="6"/>
  <c r="K508" i="6"/>
  <c r="K407" i="6"/>
  <c r="K405" i="6"/>
  <c r="K402" i="6"/>
  <c r="K270" i="6"/>
  <c r="K275" i="6"/>
  <c r="K273" i="6"/>
  <c r="K244" i="6"/>
  <c r="K247" i="6"/>
  <c r="K249" i="6"/>
  <c r="K61" i="6"/>
  <c r="M58" i="6"/>
  <c r="K63" i="6"/>
  <c r="K459" i="6"/>
  <c r="K457" i="6"/>
  <c r="K454" i="6"/>
  <c r="K353" i="6"/>
  <c r="K351" i="6"/>
  <c r="K348" i="6"/>
  <c r="K190" i="6"/>
  <c r="K195" i="6"/>
  <c r="K193" i="6"/>
  <c r="K94" i="6"/>
  <c r="K92" i="6"/>
  <c r="K90" i="6"/>
  <c r="M89" i="6"/>
  <c r="K485" i="6"/>
  <c r="K490" i="6"/>
  <c r="K488" i="6"/>
  <c r="K384" i="6"/>
  <c r="K382" i="6"/>
  <c r="K379" i="6"/>
  <c r="K226" i="6"/>
  <c r="K224" i="6"/>
  <c r="K221" i="6"/>
  <c r="M6" i="6" l="1"/>
  <c r="M551" i="6"/>
  <c r="M550" i="6"/>
  <c r="M5" i="6"/>
  <c r="K5" i="6"/>
  <c r="K550" i="6" l="1"/>
  <c r="K551" i="6"/>
  <c r="K6" i="6"/>
  <c r="M560" i="6"/>
  <c r="M562" i="6"/>
  <c r="M556" i="6"/>
  <c r="K559" i="6"/>
  <c r="K561" i="6"/>
  <c r="K563" i="6"/>
  <c r="M179" i="6"/>
  <c r="M177" i="6"/>
  <c r="M176" i="6"/>
  <c r="M175" i="6"/>
  <c r="M173" i="6"/>
  <c r="M172" i="6"/>
  <c r="M171" i="6"/>
  <c r="M168" i="6"/>
  <c r="M166" i="6"/>
  <c r="M165" i="6"/>
  <c r="M162" i="6"/>
  <c r="M161" i="6"/>
  <c r="M160" i="6"/>
  <c r="M158" i="6"/>
  <c r="M157" i="6"/>
  <c r="M156" i="6"/>
  <c r="M154" i="6"/>
  <c r="M547" i="6"/>
  <c r="M545" i="6"/>
  <c r="M544" i="6"/>
  <c r="M543" i="6"/>
  <c r="K541" i="6"/>
  <c r="M540" i="6"/>
  <c r="M538" i="6"/>
  <c r="M535" i="6"/>
  <c r="M533" i="6"/>
  <c r="M532" i="6"/>
  <c r="M530" i="6"/>
  <c r="M529" i="6"/>
  <c r="M528" i="6"/>
  <c r="M526" i="6"/>
  <c r="M525" i="6"/>
  <c r="M524" i="6"/>
  <c r="K442" i="6"/>
  <c r="M413" i="6"/>
  <c r="M410" i="6"/>
  <c r="M409" i="6"/>
  <c r="M404" i="6"/>
  <c r="M403" i="6"/>
  <c r="M399" i="6"/>
  <c r="M398" i="6"/>
  <c r="M395" i="6"/>
  <c r="M394" i="6"/>
  <c r="M285" i="6"/>
  <c r="M284" i="6"/>
  <c r="M197" i="6"/>
  <c r="M191" i="6"/>
  <c r="M186" i="6"/>
  <c r="M182" i="6"/>
  <c r="K101" i="6"/>
  <c r="M100" i="6"/>
  <c r="M96" i="6"/>
  <c r="M7" i="6"/>
  <c r="M8" i="6"/>
  <c r="M11" i="6"/>
  <c r="M12" i="6"/>
  <c r="M15" i="6"/>
  <c r="M16" i="6"/>
  <c r="M19" i="6"/>
  <c r="M20" i="6"/>
  <c r="M23" i="6"/>
  <c r="M24" i="6"/>
  <c r="M27" i="6"/>
  <c r="M28" i="6"/>
  <c r="M31" i="6"/>
  <c r="M32" i="6"/>
  <c r="M35" i="6"/>
  <c r="M36" i="6"/>
  <c r="M39" i="6"/>
  <c r="M40" i="6"/>
  <c r="M42" i="6"/>
  <c r="M45" i="6"/>
  <c r="M46" i="6"/>
  <c r="M207" i="6"/>
  <c r="M208" i="6"/>
  <c r="K209" i="6"/>
  <c r="M211" i="6"/>
  <c r="M212" i="6"/>
  <c r="M215" i="6"/>
  <c r="M216" i="6"/>
  <c r="M219" i="6"/>
  <c r="M220" i="6"/>
  <c r="M225" i="6"/>
  <c r="M227" i="6"/>
  <c r="M230" i="6"/>
  <c r="M231" i="6"/>
  <c r="M364" i="6"/>
  <c r="M365" i="6"/>
  <c r="M368" i="6"/>
  <c r="M369" i="6"/>
  <c r="M372" i="6"/>
  <c r="M373" i="6"/>
  <c r="K374" i="6"/>
  <c r="M376" i="6"/>
  <c r="M377" i="6"/>
  <c r="M381" i="6"/>
  <c r="M383" i="6"/>
  <c r="M387" i="6"/>
  <c r="M388" i="6"/>
  <c r="M391" i="6"/>
  <c r="M470" i="6"/>
  <c r="M473" i="6"/>
  <c r="M474" i="6"/>
  <c r="M477" i="6"/>
  <c r="M478" i="6"/>
  <c r="M481" i="6"/>
  <c r="M482" i="6"/>
  <c r="M486" i="6"/>
  <c r="M487" i="6"/>
  <c r="K489" i="6"/>
  <c r="M492" i="6"/>
  <c r="M493" i="6"/>
  <c r="M496" i="6"/>
  <c r="M497" i="6"/>
  <c r="M76" i="6"/>
  <c r="M77" i="6"/>
  <c r="M80" i="6"/>
  <c r="M81" i="6"/>
  <c r="M84" i="6"/>
  <c r="M85" i="6"/>
  <c r="M88" i="6"/>
  <c r="M95" i="6"/>
  <c r="M200" i="6"/>
  <c r="M201" i="6"/>
  <c r="M204" i="6"/>
  <c r="M205" i="6"/>
  <c r="M340" i="6"/>
  <c r="M341" i="6"/>
  <c r="M344" i="6"/>
  <c r="M345" i="6"/>
  <c r="M349" i="6"/>
  <c r="M350" i="6"/>
  <c r="M355" i="6"/>
  <c r="M356" i="6"/>
  <c r="M359" i="6"/>
  <c r="M360" i="6"/>
  <c r="M363" i="6"/>
  <c r="M444" i="6"/>
  <c r="M447" i="6"/>
  <c r="M448" i="6"/>
  <c r="M451" i="6"/>
  <c r="M452" i="6"/>
  <c r="M455" i="6"/>
  <c r="M456" i="6"/>
  <c r="M458" i="6"/>
  <c r="M461" i="6"/>
  <c r="M462" i="6"/>
  <c r="M463" i="6"/>
  <c r="M465" i="6"/>
  <c r="M466" i="6"/>
  <c r="M467" i="6"/>
  <c r="M469" i="6"/>
  <c r="M48" i="6"/>
  <c r="M49" i="6"/>
  <c r="M51" i="6"/>
  <c r="M52" i="6"/>
  <c r="M53" i="6"/>
  <c r="M55" i="6"/>
  <c r="M56" i="6"/>
  <c r="M57" i="6"/>
  <c r="M60" i="6"/>
  <c r="M62" i="6"/>
  <c r="M64" i="6"/>
  <c r="M66" i="6"/>
  <c r="M67" i="6"/>
  <c r="M68" i="6"/>
  <c r="M70" i="6"/>
  <c r="M71" i="6"/>
  <c r="M72" i="6"/>
  <c r="M234" i="6"/>
  <c r="M236" i="6"/>
  <c r="M238" i="6"/>
  <c r="M240" i="6"/>
  <c r="M242" i="6"/>
  <c r="M245" i="6"/>
  <c r="M248" i="6"/>
  <c r="M251" i="6"/>
  <c r="M253" i="6"/>
  <c r="M255" i="6"/>
  <c r="K557" i="6"/>
  <c r="K552" i="6"/>
  <c r="K553" i="6"/>
  <c r="K554" i="6"/>
  <c r="K555" i="6"/>
  <c r="K558" i="6"/>
  <c r="M559" i="6"/>
  <c r="K560" i="6"/>
  <c r="K562" i="6"/>
  <c r="M561" i="6"/>
  <c r="M563" i="6"/>
  <c r="K556" i="6"/>
  <c r="M313" i="6"/>
  <c r="M317" i="6"/>
  <c r="M321" i="6"/>
  <c r="M328" i="6"/>
  <c r="M332" i="6"/>
  <c r="M336" i="6"/>
  <c r="M555" i="6" l="1"/>
  <c r="M554" i="6"/>
  <c r="M553" i="6"/>
  <c r="M558" i="6"/>
  <c r="M552" i="6"/>
  <c r="M557" i="6"/>
  <c r="K173" i="6"/>
  <c r="K162" i="6"/>
  <c r="K540" i="6"/>
  <c r="K410" i="6"/>
  <c r="K172" i="6"/>
  <c r="K158" i="6"/>
  <c r="K533" i="6"/>
  <c r="K403" i="6"/>
  <c r="K177" i="6"/>
  <c r="K168" i="6"/>
  <c r="K154" i="6"/>
  <c r="K529" i="6"/>
  <c r="K285" i="6"/>
  <c r="K176" i="6"/>
  <c r="K166" i="6"/>
  <c r="K544" i="6"/>
  <c r="K525" i="6"/>
  <c r="M136" i="6"/>
  <c r="K136" i="6"/>
  <c r="M426" i="6"/>
  <c r="K426" i="6"/>
  <c r="M308" i="6"/>
  <c r="K308" i="6"/>
  <c r="M289" i="6"/>
  <c r="K289" i="6"/>
  <c r="M108" i="6"/>
  <c r="K108" i="6"/>
  <c r="M507" i="6"/>
  <c r="K507" i="6"/>
  <c r="M331" i="6"/>
  <c r="K331" i="6"/>
  <c r="M312" i="6"/>
  <c r="K312" i="6"/>
  <c r="M140" i="6"/>
  <c r="K140" i="6"/>
  <c r="M549" i="6"/>
  <c r="K549" i="6"/>
  <c r="M440" i="6"/>
  <c r="K440" i="6"/>
  <c r="M436" i="6"/>
  <c r="K436" i="6"/>
  <c r="M430" i="6"/>
  <c r="K430" i="6"/>
  <c r="M425" i="6"/>
  <c r="K425" i="6"/>
  <c r="M421" i="6"/>
  <c r="K421" i="6"/>
  <c r="M311" i="6"/>
  <c r="K311" i="6"/>
  <c r="M307" i="6"/>
  <c r="K307" i="6"/>
  <c r="M303" i="6"/>
  <c r="K303" i="6"/>
  <c r="M297" i="6"/>
  <c r="K297" i="6"/>
  <c r="M292" i="6"/>
  <c r="K292" i="6"/>
  <c r="M288" i="6"/>
  <c r="K288" i="6"/>
  <c r="M126" i="6"/>
  <c r="K126" i="6"/>
  <c r="M122" i="6"/>
  <c r="K122" i="6"/>
  <c r="M118" i="6"/>
  <c r="K118" i="6"/>
  <c r="M111" i="6"/>
  <c r="K111" i="6"/>
  <c r="M107" i="6"/>
  <c r="K107" i="6"/>
  <c r="M103" i="6"/>
  <c r="K103" i="6"/>
  <c r="M521" i="6"/>
  <c r="K521" i="6"/>
  <c r="M517" i="6"/>
  <c r="K517" i="6"/>
  <c r="M512" i="6"/>
  <c r="K512" i="6"/>
  <c r="M506" i="6"/>
  <c r="K506" i="6"/>
  <c r="M502" i="6"/>
  <c r="K502" i="6"/>
  <c r="M498" i="6"/>
  <c r="K498" i="6"/>
  <c r="M414" i="6"/>
  <c r="K414" i="6"/>
  <c r="M278" i="6"/>
  <c r="K278" i="6"/>
  <c r="M272" i="6"/>
  <c r="K272" i="6"/>
  <c r="M267" i="6"/>
  <c r="K267" i="6"/>
  <c r="M263" i="6"/>
  <c r="K263" i="6"/>
  <c r="M259" i="6"/>
  <c r="K259" i="6"/>
  <c r="K321" i="6"/>
  <c r="M142" i="6"/>
  <c r="K142" i="6"/>
  <c r="M437" i="6"/>
  <c r="K437" i="6"/>
  <c r="M418" i="6"/>
  <c r="K418" i="6"/>
  <c r="M293" i="6"/>
  <c r="K293" i="6"/>
  <c r="M119" i="6"/>
  <c r="K119" i="6"/>
  <c r="M522" i="6"/>
  <c r="K522" i="6"/>
  <c r="M503" i="6"/>
  <c r="K503" i="6"/>
  <c r="M326" i="6"/>
  <c r="K326" i="6"/>
  <c r="M316" i="6"/>
  <c r="K316" i="6"/>
  <c r="M146" i="6"/>
  <c r="K146" i="6"/>
  <c r="M131" i="6"/>
  <c r="K131" i="6"/>
  <c r="M334" i="6"/>
  <c r="K334" i="6"/>
  <c r="M330" i="6"/>
  <c r="K330" i="6"/>
  <c r="M324" i="6"/>
  <c r="K324" i="6"/>
  <c r="M319" i="6"/>
  <c r="K319" i="6"/>
  <c r="M315" i="6"/>
  <c r="K315" i="6"/>
  <c r="M153" i="6"/>
  <c r="K153" i="6"/>
  <c r="M149" i="6"/>
  <c r="K149" i="6"/>
  <c r="M145" i="6"/>
  <c r="K145" i="6"/>
  <c r="M139" i="6"/>
  <c r="K139" i="6"/>
  <c r="M134" i="6"/>
  <c r="K134" i="6"/>
  <c r="M130" i="6"/>
  <c r="K130" i="6"/>
  <c r="M548" i="6"/>
  <c r="K548" i="6"/>
  <c r="M439" i="6"/>
  <c r="K439" i="6"/>
  <c r="M435" i="6"/>
  <c r="K435" i="6"/>
  <c r="M429" i="6"/>
  <c r="K429" i="6"/>
  <c r="M424" i="6"/>
  <c r="K424" i="6"/>
  <c r="M420" i="6"/>
  <c r="K420" i="6"/>
  <c r="M310" i="6"/>
  <c r="K310" i="6"/>
  <c r="M306" i="6"/>
  <c r="K306" i="6"/>
  <c r="M302" i="6"/>
  <c r="K302" i="6"/>
  <c r="M295" i="6"/>
  <c r="K295" i="6"/>
  <c r="M291" i="6"/>
  <c r="K291" i="6"/>
  <c r="M287" i="6"/>
  <c r="K287" i="6"/>
  <c r="M125" i="6"/>
  <c r="K125" i="6"/>
  <c r="M121" i="6"/>
  <c r="K121" i="6"/>
  <c r="M116" i="6"/>
  <c r="K116" i="6"/>
  <c r="M110" i="6"/>
  <c r="K110" i="6"/>
  <c r="M106" i="6"/>
  <c r="K106" i="6"/>
  <c r="M102" i="6"/>
  <c r="K102" i="6"/>
  <c r="M520" i="6"/>
  <c r="K520" i="6"/>
  <c r="M516" i="6"/>
  <c r="K516" i="6"/>
  <c r="M510" i="6"/>
  <c r="K510" i="6"/>
  <c r="M505" i="6"/>
  <c r="K505" i="6"/>
  <c r="M501" i="6"/>
  <c r="K501" i="6"/>
  <c r="M417" i="6"/>
  <c r="K417" i="6"/>
  <c r="M281" i="6"/>
  <c r="K281" i="6"/>
  <c r="M277" i="6"/>
  <c r="K277" i="6"/>
  <c r="M271" i="6"/>
  <c r="K271" i="6"/>
  <c r="M266" i="6"/>
  <c r="K266" i="6"/>
  <c r="M262" i="6"/>
  <c r="K262" i="6"/>
  <c r="M258" i="6"/>
  <c r="K258" i="6"/>
  <c r="M254" i="6"/>
  <c r="K254" i="6"/>
  <c r="M250" i="6"/>
  <c r="K250" i="6"/>
  <c r="M243" i="6"/>
  <c r="K243" i="6"/>
  <c r="M239" i="6"/>
  <c r="K239" i="6"/>
  <c r="M235" i="6"/>
  <c r="K235" i="6"/>
  <c r="K336" i="6"/>
  <c r="K317" i="6"/>
  <c r="M147" i="6"/>
  <c r="K147" i="6"/>
  <c r="M128" i="6"/>
  <c r="K128" i="6"/>
  <c r="M441" i="6"/>
  <c r="K441" i="6"/>
  <c r="M422" i="6"/>
  <c r="K422" i="6"/>
  <c r="M298" i="6"/>
  <c r="K298" i="6"/>
  <c r="M127" i="6"/>
  <c r="K127" i="6"/>
  <c r="M113" i="6"/>
  <c r="K113" i="6"/>
  <c r="M514" i="6"/>
  <c r="K514" i="6"/>
  <c r="M335" i="6"/>
  <c r="K335" i="6"/>
  <c r="M320" i="6"/>
  <c r="K320" i="6"/>
  <c r="M150" i="6"/>
  <c r="K150" i="6"/>
  <c r="M135" i="6"/>
  <c r="K135" i="6"/>
  <c r="M337" i="6"/>
  <c r="K337" i="6"/>
  <c r="M333" i="6"/>
  <c r="K333" i="6"/>
  <c r="M329" i="6"/>
  <c r="K329" i="6"/>
  <c r="M323" i="6"/>
  <c r="K323" i="6"/>
  <c r="M318" i="6"/>
  <c r="K318" i="6"/>
  <c r="M314" i="6"/>
  <c r="K314" i="6"/>
  <c r="M152" i="6"/>
  <c r="K152" i="6"/>
  <c r="M148" i="6"/>
  <c r="K148" i="6"/>
  <c r="M144" i="6"/>
  <c r="K144" i="6"/>
  <c r="M137" i="6"/>
  <c r="K137" i="6"/>
  <c r="M133" i="6"/>
  <c r="K133" i="6"/>
  <c r="M129" i="6"/>
  <c r="K129" i="6"/>
  <c r="M438" i="6"/>
  <c r="K438" i="6"/>
  <c r="M434" i="6"/>
  <c r="K434" i="6"/>
  <c r="M427" i="6"/>
  <c r="K427" i="6"/>
  <c r="M423" i="6"/>
  <c r="K423" i="6"/>
  <c r="M419" i="6"/>
  <c r="K419" i="6"/>
  <c r="M309" i="6"/>
  <c r="K309" i="6"/>
  <c r="M305" i="6"/>
  <c r="K305" i="6"/>
  <c r="K300" i="6"/>
  <c r="M300" i="6"/>
  <c r="M294" i="6"/>
  <c r="K294" i="6"/>
  <c r="M290" i="6"/>
  <c r="K290" i="6"/>
  <c r="M286" i="6"/>
  <c r="K286" i="6"/>
  <c r="K124" i="6"/>
  <c r="M124" i="6"/>
  <c r="M120" i="6"/>
  <c r="K120" i="6"/>
  <c r="M114" i="6"/>
  <c r="K114" i="6"/>
  <c r="M109" i="6"/>
  <c r="K109" i="6"/>
  <c r="K105" i="6"/>
  <c r="M105" i="6"/>
  <c r="M523" i="6"/>
  <c r="K523" i="6"/>
  <c r="M519" i="6"/>
  <c r="K519" i="6"/>
  <c r="M515" i="6"/>
  <c r="K515" i="6"/>
  <c r="M509" i="6"/>
  <c r="K509" i="6"/>
  <c r="M504" i="6"/>
  <c r="K504" i="6"/>
  <c r="M500" i="6"/>
  <c r="K500" i="6"/>
  <c r="K416" i="6"/>
  <c r="M416" i="6"/>
  <c r="M280" i="6"/>
  <c r="K280" i="6"/>
  <c r="M276" i="6"/>
  <c r="K276" i="6"/>
  <c r="M269" i="6"/>
  <c r="K269" i="6"/>
  <c r="M265" i="6"/>
  <c r="K265" i="6"/>
  <c r="M261" i="6"/>
  <c r="K261" i="6"/>
  <c r="M257" i="6"/>
  <c r="K257" i="6"/>
  <c r="K332" i="6"/>
  <c r="K313" i="6"/>
  <c r="M151" i="6"/>
  <c r="K151" i="6"/>
  <c r="M132" i="6"/>
  <c r="K132" i="6"/>
  <c r="M432" i="6"/>
  <c r="K432" i="6"/>
  <c r="M304" i="6"/>
  <c r="K304" i="6"/>
  <c r="M123" i="6"/>
  <c r="K123" i="6"/>
  <c r="M104" i="6"/>
  <c r="K104" i="6"/>
  <c r="M518" i="6"/>
  <c r="K518" i="6"/>
  <c r="M499" i="6"/>
  <c r="K499" i="6"/>
  <c r="M415" i="6"/>
  <c r="K415" i="6"/>
  <c r="M279" i="6"/>
  <c r="K279" i="6"/>
  <c r="K274" i="6"/>
  <c r="M274" i="6"/>
  <c r="M268" i="6"/>
  <c r="K268" i="6"/>
  <c r="K264" i="6"/>
  <c r="M264" i="6"/>
  <c r="M260" i="6"/>
  <c r="K260" i="6"/>
  <c r="K256" i="6"/>
  <c r="M256" i="6"/>
  <c r="M252" i="6"/>
  <c r="K252" i="6"/>
  <c r="M246" i="6"/>
  <c r="K246" i="6"/>
  <c r="M241" i="6"/>
  <c r="K241" i="6"/>
  <c r="K237" i="6"/>
  <c r="M237" i="6"/>
  <c r="M73" i="6"/>
  <c r="K73" i="6"/>
  <c r="K69" i="6"/>
  <c r="M69" i="6"/>
  <c r="M65" i="6"/>
  <c r="K65" i="6"/>
  <c r="K59" i="6"/>
  <c r="M59" i="6"/>
  <c r="M54" i="6"/>
  <c r="K54" i="6"/>
  <c r="M50" i="6"/>
  <c r="K50" i="6"/>
  <c r="M468" i="6"/>
  <c r="K468" i="6"/>
  <c r="K464" i="6"/>
  <c r="M464" i="6"/>
  <c r="M460" i="6"/>
  <c r="K460" i="6"/>
  <c r="K453" i="6"/>
  <c r="M453" i="6"/>
  <c r="M449" i="6"/>
  <c r="K449" i="6"/>
  <c r="K445" i="6"/>
  <c r="M445" i="6"/>
  <c r="M361" i="6"/>
  <c r="K361" i="6"/>
  <c r="M357" i="6"/>
  <c r="K357" i="6"/>
  <c r="M352" i="6"/>
  <c r="K352" i="6"/>
  <c r="K346" i="6"/>
  <c r="M346" i="6"/>
  <c r="M342" i="6"/>
  <c r="K342" i="6"/>
  <c r="K338" i="6"/>
  <c r="M338" i="6"/>
  <c r="M202" i="6"/>
  <c r="K202" i="6"/>
  <c r="M93" i="6"/>
  <c r="K93" i="6"/>
  <c r="M87" i="6"/>
  <c r="K87" i="6"/>
  <c r="M83" i="6"/>
  <c r="K83" i="6"/>
  <c r="M79" i="6"/>
  <c r="K79" i="6"/>
  <c r="M75" i="6"/>
  <c r="K75" i="6"/>
  <c r="M495" i="6"/>
  <c r="K495" i="6"/>
  <c r="M491" i="6"/>
  <c r="K491" i="6"/>
  <c r="M484" i="6"/>
  <c r="K484" i="6"/>
  <c r="M480" i="6"/>
  <c r="K480" i="6"/>
  <c r="M476" i="6"/>
  <c r="K476" i="6"/>
  <c r="M472" i="6"/>
  <c r="K472" i="6"/>
  <c r="M390" i="6"/>
  <c r="K390" i="6"/>
  <c r="M386" i="6"/>
  <c r="K386" i="6"/>
  <c r="M380" i="6"/>
  <c r="K380" i="6"/>
  <c r="M375" i="6"/>
  <c r="K375" i="6"/>
  <c r="M371" i="6"/>
  <c r="K371" i="6"/>
  <c r="M367" i="6"/>
  <c r="K367" i="6"/>
  <c r="M233" i="6"/>
  <c r="K233" i="6"/>
  <c r="M229" i="6"/>
  <c r="K229" i="6"/>
  <c r="M223" i="6"/>
  <c r="K223" i="6"/>
  <c r="M218" i="6"/>
  <c r="K218" i="6"/>
  <c r="M214" i="6"/>
  <c r="K214" i="6"/>
  <c r="M210" i="6"/>
  <c r="K210" i="6"/>
  <c r="M206" i="6"/>
  <c r="K206" i="6"/>
  <c r="M44" i="6"/>
  <c r="K44" i="6"/>
  <c r="M38" i="6"/>
  <c r="K38" i="6"/>
  <c r="M34" i="6"/>
  <c r="K34" i="6"/>
  <c r="M30" i="6"/>
  <c r="K30" i="6"/>
  <c r="M26" i="6"/>
  <c r="K26" i="6"/>
  <c r="M22" i="6"/>
  <c r="K22" i="6"/>
  <c r="M18" i="6"/>
  <c r="K18" i="6"/>
  <c r="M14" i="6"/>
  <c r="K14" i="6"/>
  <c r="M10" i="6"/>
  <c r="K10" i="6"/>
  <c r="M99" i="6"/>
  <c r="K99" i="6"/>
  <c r="M181" i="6"/>
  <c r="K181" i="6"/>
  <c r="M185" i="6"/>
  <c r="K185" i="6"/>
  <c r="M189" i="6"/>
  <c r="K189" i="6"/>
  <c r="M196" i="6"/>
  <c r="K196" i="6"/>
  <c r="M282" i="6"/>
  <c r="K282" i="6"/>
  <c r="M392" i="6"/>
  <c r="K392" i="6"/>
  <c r="M396" i="6"/>
  <c r="K396" i="6"/>
  <c r="M400" i="6"/>
  <c r="K400" i="6"/>
  <c r="M406" i="6"/>
  <c r="K406" i="6"/>
  <c r="M411" i="6"/>
  <c r="K411" i="6"/>
  <c r="M443" i="6"/>
  <c r="K443" i="6"/>
  <c r="M527" i="6"/>
  <c r="K527" i="6"/>
  <c r="M531" i="6"/>
  <c r="K531" i="6"/>
  <c r="M536" i="6"/>
  <c r="K536" i="6"/>
  <c r="M542" i="6"/>
  <c r="K542" i="6"/>
  <c r="M546" i="6"/>
  <c r="K546" i="6"/>
  <c r="K155" i="6"/>
  <c r="M155" i="6"/>
  <c r="M159" i="6"/>
  <c r="K159" i="6"/>
  <c r="K163" i="6"/>
  <c r="M163" i="6"/>
  <c r="M170" i="6"/>
  <c r="K170" i="6"/>
  <c r="K174" i="6"/>
  <c r="M174" i="6"/>
  <c r="M178" i="6"/>
  <c r="K178" i="6"/>
  <c r="K328" i="6"/>
  <c r="K255" i="6"/>
  <c r="K242" i="6"/>
  <c r="K236" i="6"/>
  <c r="K71" i="6"/>
  <c r="K66" i="6"/>
  <c r="K57" i="6"/>
  <c r="K52" i="6"/>
  <c r="K469" i="6"/>
  <c r="K463" i="6"/>
  <c r="K456" i="6"/>
  <c r="K448" i="6"/>
  <c r="K360" i="6"/>
  <c r="K350" i="6"/>
  <c r="K341" i="6"/>
  <c r="K201" i="6"/>
  <c r="K191" i="6"/>
  <c r="K182" i="6"/>
  <c r="K96" i="6"/>
  <c r="K85" i="6"/>
  <c r="K77" i="6"/>
  <c r="K493" i="6"/>
  <c r="K482" i="6"/>
  <c r="K474" i="6"/>
  <c r="K388" i="6"/>
  <c r="K377" i="6"/>
  <c r="K369" i="6"/>
  <c r="K231" i="6"/>
  <c r="K220" i="6"/>
  <c r="K212" i="6"/>
  <c r="K46" i="6"/>
  <c r="K35" i="6"/>
  <c r="K27" i="6"/>
  <c r="K19" i="6"/>
  <c r="K11" i="6"/>
  <c r="M101" i="6"/>
  <c r="K91" i="6"/>
  <c r="M91" i="6"/>
  <c r="M86" i="6"/>
  <c r="K86" i="6"/>
  <c r="K82" i="6"/>
  <c r="M82" i="6"/>
  <c r="M78" i="6"/>
  <c r="K78" i="6"/>
  <c r="M74" i="6"/>
  <c r="K74" i="6"/>
  <c r="M494" i="6"/>
  <c r="K494" i="6"/>
  <c r="M483" i="6"/>
  <c r="K483" i="6"/>
  <c r="K479" i="6"/>
  <c r="M479" i="6"/>
  <c r="M475" i="6"/>
  <c r="K475" i="6"/>
  <c r="K471" i="6"/>
  <c r="M471" i="6"/>
  <c r="M389" i="6"/>
  <c r="K389" i="6"/>
  <c r="M385" i="6"/>
  <c r="K385" i="6"/>
  <c r="M378" i="6"/>
  <c r="K378" i="6"/>
  <c r="M370" i="6"/>
  <c r="K370" i="6"/>
  <c r="K366" i="6"/>
  <c r="M366" i="6"/>
  <c r="M232" i="6"/>
  <c r="K232" i="6"/>
  <c r="K228" i="6"/>
  <c r="M228" i="6"/>
  <c r="M222" i="6"/>
  <c r="K222" i="6"/>
  <c r="M217" i="6"/>
  <c r="K217" i="6"/>
  <c r="M213" i="6"/>
  <c r="K213" i="6"/>
  <c r="M47" i="6"/>
  <c r="K47" i="6"/>
  <c r="K43" i="6"/>
  <c r="M43" i="6"/>
  <c r="M41" i="6"/>
  <c r="K41" i="6"/>
  <c r="M37" i="6"/>
  <c r="K37" i="6"/>
  <c r="K33" i="6"/>
  <c r="M33" i="6"/>
  <c r="M29" i="6"/>
  <c r="K29" i="6"/>
  <c r="K25" i="6"/>
  <c r="M25" i="6"/>
  <c r="M21" i="6"/>
  <c r="K21" i="6"/>
  <c r="K17" i="6"/>
  <c r="M17" i="6"/>
  <c r="M13" i="6"/>
  <c r="K13" i="6"/>
  <c r="M9" i="6"/>
  <c r="K9" i="6"/>
  <c r="M283" i="6"/>
  <c r="K283" i="6"/>
  <c r="M393" i="6"/>
  <c r="K393" i="6"/>
  <c r="K397" i="6"/>
  <c r="M397" i="6"/>
  <c r="M401" i="6"/>
  <c r="K401" i="6"/>
  <c r="K408" i="6"/>
  <c r="M408" i="6"/>
  <c r="M412" i="6"/>
  <c r="K412" i="6"/>
  <c r="K161" i="6"/>
  <c r="K157" i="6"/>
  <c r="K547" i="6"/>
  <c r="K543" i="6"/>
  <c r="K538" i="6"/>
  <c r="K532" i="6"/>
  <c r="K528" i="6"/>
  <c r="K524" i="6"/>
  <c r="K409" i="6"/>
  <c r="K395" i="6"/>
  <c r="K284" i="6"/>
  <c r="K248" i="6"/>
  <c r="K240" i="6"/>
  <c r="K70" i="6"/>
  <c r="K64" i="6"/>
  <c r="K56" i="6"/>
  <c r="K51" i="6"/>
  <c r="K467" i="6"/>
  <c r="K462" i="6"/>
  <c r="K455" i="6"/>
  <c r="K447" i="6"/>
  <c r="K359" i="6"/>
  <c r="K349" i="6"/>
  <c r="K340" i="6"/>
  <c r="K200" i="6"/>
  <c r="K95" i="6"/>
  <c r="K84" i="6"/>
  <c r="K76" i="6"/>
  <c r="K492" i="6"/>
  <c r="K481" i="6"/>
  <c r="K473" i="6"/>
  <c r="K387" i="6"/>
  <c r="K376" i="6"/>
  <c r="K368" i="6"/>
  <c r="K230" i="6"/>
  <c r="K219" i="6"/>
  <c r="K211" i="6"/>
  <c r="K45" i="6"/>
  <c r="K40" i="6"/>
  <c r="K32" i="6"/>
  <c r="K24" i="6"/>
  <c r="K16" i="6"/>
  <c r="K8" i="6"/>
  <c r="M541" i="6"/>
  <c r="M489" i="6"/>
  <c r="M97" i="6"/>
  <c r="K97" i="6"/>
  <c r="M183" i="6"/>
  <c r="K183" i="6"/>
  <c r="M187" i="6"/>
  <c r="K187" i="6"/>
  <c r="M192" i="6"/>
  <c r="K192" i="6"/>
  <c r="K198" i="6"/>
  <c r="M198" i="6"/>
  <c r="K179" i="6"/>
  <c r="K175" i="6"/>
  <c r="K171" i="6"/>
  <c r="K165" i="6"/>
  <c r="K160" i="6"/>
  <c r="K156" i="6"/>
  <c r="K413" i="6"/>
  <c r="K399" i="6"/>
  <c r="K394" i="6"/>
  <c r="K253" i="6"/>
  <c r="K245" i="6"/>
  <c r="K234" i="6"/>
  <c r="K68" i="6"/>
  <c r="K62" i="6"/>
  <c r="K55" i="6"/>
  <c r="K49" i="6"/>
  <c r="K466" i="6"/>
  <c r="K461" i="6"/>
  <c r="K452" i="6"/>
  <c r="K444" i="6"/>
  <c r="K356" i="6"/>
  <c r="K345" i="6"/>
  <c r="K205" i="6"/>
  <c r="K197" i="6"/>
  <c r="K186" i="6"/>
  <c r="K100" i="6"/>
  <c r="K81" i="6"/>
  <c r="K497" i="6"/>
  <c r="K487" i="6"/>
  <c r="K478" i="6"/>
  <c r="K470" i="6"/>
  <c r="K383" i="6"/>
  <c r="K373" i="6"/>
  <c r="K365" i="6"/>
  <c r="K227" i="6"/>
  <c r="K216" i="6"/>
  <c r="K208" i="6"/>
  <c r="K42" i="6"/>
  <c r="K39" i="6"/>
  <c r="K31" i="6"/>
  <c r="K23" i="6"/>
  <c r="K15" i="6"/>
  <c r="K7" i="6"/>
  <c r="M442" i="6"/>
  <c r="M374" i="6"/>
  <c r="M450" i="6"/>
  <c r="K450" i="6"/>
  <c r="M446" i="6"/>
  <c r="K446" i="6"/>
  <c r="M362" i="6"/>
  <c r="K362" i="6"/>
  <c r="M358" i="6"/>
  <c r="K358" i="6"/>
  <c r="M354" i="6"/>
  <c r="K354" i="6"/>
  <c r="M347" i="6"/>
  <c r="K347" i="6"/>
  <c r="M343" i="6"/>
  <c r="K343" i="6"/>
  <c r="M339" i="6"/>
  <c r="K339" i="6"/>
  <c r="M203" i="6"/>
  <c r="K203" i="6"/>
  <c r="M98" i="6"/>
  <c r="K98" i="6"/>
  <c r="M180" i="6"/>
  <c r="K180" i="6"/>
  <c r="M184" i="6"/>
  <c r="K184" i="6"/>
  <c r="M188" i="6"/>
  <c r="K188" i="6"/>
  <c r="M194" i="6"/>
  <c r="K194" i="6"/>
  <c r="M199" i="6"/>
  <c r="K199" i="6"/>
  <c r="K545" i="6"/>
  <c r="K535" i="6"/>
  <c r="K530" i="6"/>
  <c r="K526" i="6"/>
  <c r="K404" i="6"/>
  <c r="K398" i="6"/>
  <c r="K251" i="6"/>
  <c r="K238" i="6"/>
  <c r="K72" i="6"/>
  <c r="K67" i="6"/>
  <c r="K60" i="6"/>
  <c r="K53" i="6"/>
  <c r="K48" i="6"/>
  <c r="K465" i="6"/>
  <c r="K458" i="6"/>
  <c r="K451" i="6"/>
  <c r="K363" i="6"/>
  <c r="K355" i="6"/>
  <c r="K344" i="6"/>
  <c r="K204" i="6"/>
  <c r="K88" i="6"/>
  <c r="K80" i="6"/>
  <c r="K496" i="6"/>
  <c r="K486" i="6"/>
  <c r="K477" i="6"/>
  <c r="K391" i="6"/>
  <c r="K381" i="6"/>
  <c r="K372" i="6"/>
  <c r="K364" i="6"/>
  <c r="K225" i="6"/>
  <c r="K215" i="6"/>
  <c r="K207" i="6"/>
  <c r="K36" i="6"/>
  <c r="K28" i="6"/>
  <c r="K20" i="6"/>
  <c r="K12" i="6"/>
  <c r="M209" i="6"/>
  <c r="GC17" i="1" l="1"/>
  <c r="GC25" i="1" s="1"/>
  <c r="GC18" i="1"/>
  <c r="GC19" i="1" s="1"/>
  <c r="GD18" i="1"/>
  <c r="GC15" i="1"/>
  <c r="GD17" i="1" l="1"/>
  <c r="GD25" i="1" s="1"/>
  <c r="GD26" i="1" s="1"/>
  <c r="GC24" i="1"/>
  <c r="GD15" i="1"/>
  <c r="GC33" i="1"/>
  <c r="GD33" i="1"/>
  <c r="GD35" i="1" s="1"/>
  <c r="GD19" i="1"/>
  <c r="GC39" i="1" s="1"/>
  <c r="GD24" i="1" l="1"/>
  <c r="GC26" i="1" s="1"/>
  <c r="GC40" i="1" s="1"/>
  <c r="GC35" i="1"/>
  <c r="GC37" i="1" s="1"/>
  <c r="DR40" i="1" l="1"/>
  <c r="K106" i="1" s="1"/>
  <c r="EI35" i="1"/>
  <c r="CB106" i="1"/>
  <c r="BH106" i="1" l="1"/>
  <c r="DR51" i="1"/>
  <c r="BI50" i="1" l="1"/>
  <c r="BI49" i="1"/>
  <c r="BI48" i="1"/>
  <c r="BI47" i="1"/>
  <c r="DF34" i="1" l="1"/>
  <c r="DF31" i="1"/>
  <c r="DF30" i="1"/>
  <c r="DF29" i="1"/>
  <c r="DF28" i="1"/>
  <c r="EJ15" i="1"/>
  <c r="EK34" i="1"/>
  <c r="EK33" i="1"/>
  <c r="EK32" i="1"/>
  <c r="EK31" i="1"/>
  <c r="EK30" i="1"/>
  <c r="EK29" i="1"/>
  <c r="EK28" i="1"/>
  <c r="EK23" i="1"/>
  <c r="EK22" i="1"/>
  <c r="EK21" i="1"/>
  <c r="EK20" i="1"/>
  <c r="EK19" i="1"/>
  <c r="EK15" i="1"/>
  <c r="EJ34" i="1"/>
  <c r="EJ33" i="1"/>
  <c r="EJ32" i="1"/>
  <c r="EJ31" i="1"/>
  <c r="EJ30" i="1"/>
  <c r="EJ29" i="1"/>
  <c r="EJ28" i="1"/>
  <c r="EJ23" i="1"/>
  <c r="EJ22" i="1"/>
  <c r="EJ21" i="1"/>
  <c r="EJ20" i="1"/>
  <c r="EJ19" i="1"/>
  <c r="EJ35" i="1"/>
  <c r="DR33" i="1" l="1"/>
  <c r="DR31" i="1"/>
  <c r="DR30" i="1"/>
  <c r="DR29" i="1"/>
  <c r="DR28" i="1"/>
  <c r="DR32" i="1"/>
  <c r="DR34" i="1"/>
  <c r="K98" i="1"/>
  <c r="CF93" i="1"/>
  <c r="K93" i="1"/>
  <c r="EK35" i="1"/>
  <c r="DR35" i="1" s="1"/>
  <c r="DR52" i="1" l="1"/>
  <c r="EK18" i="1" l="1"/>
  <c r="EJ18" i="1"/>
  <c r="BC93" i="1" s="1"/>
  <c r="EJ17" i="1"/>
  <c r="Y93" i="1" s="1"/>
  <c r="DA93" i="1" l="1"/>
  <c r="AR8" i="4"/>
  <c r="AR6" i="4"/>
  <c r="BX86" i="1"/>
  <c r="BX85" i="1"/>
  <c r="BX84" i="1"/>
  <c r="BX83" i="1"/>
  <c r="BX82" i="1"/>
  <c r="K96" i="1"/>
  <c r="BA82" i="1"/>
  <c r="BA83" i="1"/>
  <c r="BA84" i="1"/>
  <c r="BA85" i="1"/>
  <c r="CM86" i="1"/>
  <c r="CM85" i="1"/>
  <c r="CM84" i="1"/>
  <c r="CM83" i="1"/>
  <c r="CM82" i="1"/>
  <c r="L90" i="1"/>
  <c r="BA86" i="1"/>
  <c r="M86" i="1"/>
  <c r="M85" i="1"/>
  <c r="M84" i="1"/>
  <c r="M83" i="1"/>
  <c r="M82" i="1"/>
  <c r="AD51" i="1" l="1"/>
  <c r="DR36" i="1"/>
  <c r="AE42" i="1" l="1"/>
  <c r="EK17" i="1"/>
  <c r="CG26" i="1" l="1"/>
  <c r="CI96" i="1" s="1"/>
  <c r="CI98" i="1" s="1"/>
  <c r="DR24" i="1" l="1"/>
  <c r="EK24" i="1"/>
  <c r="EJ24" i="1"/>
  <c r="AV26" i="1"/>
  <c r="DR41" i="1" l="1"/>
  <c r="DR42" i="1" s="1"/>
  <c r="AG106" i="1" s="1"/>
  <c r="DR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Mcnay, Scott Mr NAF USA</author>
    <author>McNay, Scott</author>
  </authors>
  <commentList>
    <comment ref="AV3" authorId="0" shapeId="0" xr:uid="{00000000-0006-0000-0100-000001000000}">
      <text>
        <r>
          <rPr>
            <sz val="9"/>
            <color indexed="81"/>
            <rFont val="Tahoma"/>
            <family val="2"/>
          </rPr>
          <t>Provide Sponsor's name. This must be the highest-ranking person (the Annual Report does not allow deviations); CYS employees first.</t>
        </r>
      </text>
    </comment>
    <comment ref="CG3" authorId="0" shapeId="0" xr:uid="{00000000-0006-0000-0100-000002000000}">
      <text>
        <r>
          <rPr>
            <sz val="9"/>
            <color indexed="81"/>
            <rFont val="Tahoma"/>
            <family val="2"/>
          </rPr>
          <t>Provide Spouse/Partner name</t>
        </r>
      </text>
    </comment>
    <comment ref="DR3" authorId="0" shapeId="0" xr:uid="{4C3C0A6D-4D2F-4FF5-8031-706B3631C547}">
      <text>
        <r>
          <rPr>
            <sz val="9"/>
            <color indexed="81"/>
            <rFont val="Tahoma"/>
            <family val="2"/>
          </rPr>
          <t>Provide names of other adults who contribute to the child's welfare.</t>
        </r>
      </text>
    </comment>
    <comment ref="AV4" authorId="0" shapeId="0" xr:uid="{00000000-0006-0000-0100-000003000000}">
      <text>
        <r>
          <rPr>
            <sz val="9"/>
            <color indexed="81"/>
            <rFont val="Tahoma"/>
            <family val="2"/>
          </rPr>
          <t>Provide Sponsor's command or employer</t>
        </r>
      </text>
    </comment>
    <comment ref="CG4" authorId="0" shapeId="0" xr:uid="{00000000-0006-0000-0100-000004000000}">
      <text>
        <r>
          <rPr>
            <sz val="9"/>
            <color indexed="81"/>
            <rFont val="Tahoma"/>
            <family val="2"/>
          </rPr>
          <t>Provide command or employer of this person.</t>
        </r>
      </text>
    </comment>
    <comment ref="DR4" authorId="0" shapeId="0" xr:uid="{4EFCA988-7368-44A3-9D78-514267CA5BB6}">
      <text>
        <r>
          <rPr>
            <sz val="9"/>
            <color indexed="81"/>
            <rFont val="Tahoma"/>
            <family val="2"/>
          </rPr>
          <t>Provide command or employer of this person.</t>
        </r>
      </text>
    </comment>
    <comment ref="AV5" authorId="0" shapeId="0" xr:uid="{00000000-0006-0000-0100-000005000000}">
      <text>
        <r>
          <rPr>
            <sz val="9"/>
            <color indexed="81"/>
            <rFont val="Tahoma"/>
            <family val="2"/>
          </rPr>
          <t>Provide phone # of this person's command or employer.</t>
        </r>
      </text>
    </comment>
    <comment ref="CG5" authorId="0" shapeId="0" xr:uid="{00000000-0006-0000-0100-000006000000}">
      <text>
        <r>
          <rPr>
            <sz val="9"/>
            <color indexed="81"/>
            <rFont val="Tahoma"/>
            <family val="2"/>
          </rPr>
          <t>Provide phone # of this person's command or employer.</t>
        </r>
      </text>
    </comment>
    <comment ref="DR5" authorId="0" shapeId="0" xr:uid="{CB82980E-1541-404C-83C5-4B97F023FBBE}">
      <text>
        <r>
          <rPr>
            <sz val="9"/>
            <color indexed="81"/>
            <rFont val="Tahoma"/>
            <family val="2"/>
          </rPr>
          <t>Provide phone # of this person's command or employer.</t>
        </r>
      </text>
    </comment>
    <comment ref="AV6" authorId="0" shapeId="0" xr:uid="{00000000-0006-0000-0100-000007000000}">
      <text>
        <r>
          <rPr>
            <sz val="9"/>
            <color indexed="81"/>
            <rFont val="Tahoma"/>
            <family val="2"/>
          </rPr>
          <t>Care priority info</t>
        </r>
      </text>
    </comment>
    <comment ref="CG6" authorId="0" shapeId="0" xr:uid="{00000000-0006-0000-0100-000008000000}">
      <text>
        <r>
          <rPr>
            <sz val="9"/>
            <color indexed="81"/>
            <rFont val="Tahoma"/>
            <family val="2"/>
          </rPr>
          <t>Care priority info</t>
        </r>
      </text>
    </comment>
    <comment ref="AV7" authorId="0" shapeId="0" xr:uid="{00000000-0006-0000-0100-000009000000}">
      <text>
        <r>
          <rPr>
            <sz val="9"/>
            <color indexed="81"/>
            <rFont val="Tahoma"/>
            <family val="2"/>
          </rPr>
          <t>Care priority info</t>
        </r>
      </text>
    </comment>
    <comment ref="CG7" authorId="0" shapeId="0" xr:uid="{00000000-0006-0000-0100-00000A000000}">
      <text>
        <r>
          <rPr>
            <sz val="9"/>
            <color indexed="81"/>
            <rFont val="Tahoma"/>
            <family val="2"/>
          </rPr>
          <t>Care priority info</t>
        </r>
      </text>
    </comment>
    <comment ref="AV8" authorId="0" shapeId="0" xr:uid="{00000000-0006-0000-0100-00000B000000}">
      <text>
        <r>
          <rPr>
            <sz val="9"/>
            <color indexed="81"/>
            <rFont val="Tahoma"/>
            <family val="2"/>
          </rPr>
          <t>Care priority info</t>
        </r>
      </text>
    </comment>
    <comment ref="CG8" authorId="0" shapeId="0" xr:uid="{00000000-0006-0000-0100-00000C000000}">
      <text>
        <r>
          <rPr>
            <sz val="9"/>
            <color indexed="81"/>
            <rFont val="Tahoma"/>
            <family val="2"/>
          </rPr>
          <t>Care priority info</t>
        </r>
      </text>
    </comment>
    <comment ref="GC8" authorId="0" shapeId="0" xr:uid="{00000000-0006-0000-0100-00000D000000}">
      <text>
        <r>
          <rPr>
            <sz val="9"/>
            <color indexed="81"/>
            <rFont val="Tahoma"/>
            <family val="2"/>
          </rPr>
          <t>Is spouse a full-time student? Also see Document Verification field.</t>
        </r>
      </text>
    </comment>
    <comment ref="GD8" authorId="0" shapeId="0" xr:uid="{00000000-0006-0000-0100-00000E000000}">
      <text>
        <r>
          <rPr>
            <sz val="9"/>
            <color indexed="81"/>
            <rFont val="Tahoma"/>
            <family val="2"/>
          </rPr>
          <t>Is spouse a full-time student? Also see Document Verification field.</t>
        </r>
      </text>
    </comment>
    <comment ref="AV10" authorId="0" shapeId="0" xr:uid="{00000000-0006-0000-0100-00000F000000}">
      <text>
        <r>
          <rPr>
            <sz val="9"/>
            <color indexed="81"/>
            <rFont val="Tahoma"/>
            <family val="2"/>
          </rPr>
          <t>Employment / student / etc. info.</t>
        </r>
      </text>
    </comment>
    <comment ref="CG10" authorId="0" shapeId="0" xr:uid="{00000000-0006-0000-0100-000010000000}">
      <text>
        <r>
          <rPr>
            <sz val="9"/>
            <color indexed="81"/>
            <rFont val="Tahoma"/>
            <family val="2"/>
          </rPr>
          <t>Employment / student / etc. info.</t>
        </r>
      </text>
    </comment>
    <comment ref="GC10" authorId="0" shapeId="0" xr:uid="{00000000-0006-0000-0100-000011000000}">
      <text>
        <r>
          <rPr>
            <sz val="9"/>
            <color indexed="81"/>
            <rFont val="Tahoma"/>
            <family val="2"/>
          </rPr>
          <t>Is spouse unemployed and looking for work? Also see Document Verification field.</t>
        </r>
      </text>
    </comment>
    <comment ref="GD10" authorId="0" shapeId="0" xr:uid="{00000000-0006-0000-0100-000012000000}">
      <text>
        <r>
          <rPr>
            <sz val="9"/>
            <color indexed="81"/>
            <rFont val="Tahoma"/>
            <family val="2"/>
          </rPr>
          <t>Is spouse unemployed and looking for work? Also see Document Verification field.</t>
        </r>
      </text>
    </comment>
    <comment ref="AV11" authorId="0" shapeId="0" xr:uid="{00000000-0006-0000-0100-000013000000}">
      <text>
        <r>
          <rPr>
            <sz val="9"/>
            <color indexed="81"/>
            <rFont val="Tahoma"/>
            <family val="2"/>
          </rPr>
          <t>Employment / student / etc. info.</t>
        </r>
      </text>
    </comment>
    <comment ref="CG11" authorId="0" shapeId="0" xr:uid="{00000000-0006-0000-0100-000014000000}">
      <text>
        <r>
          <rPr>
            <sz val="9"/>
            <color indexed="81"/>
            <rFont val="Tahoma"/>
            <family val="2"/>
          </rPr>
          <t>Employment / student / etc. info.</t>
        </r>
      </text>
    </comment>
    <comment ref="I12" authorId="0" shapeId="0" xr:uid="{00000000-0006-0000-0100-000015000000}">
      <text>
        <r>
          <rPr>
            <sz val="9"/>
            <color indexed="81"/>
            <rFont val="Tahoma"/>
            <family val="2"/>
          </rPr>
          <t>This can be overwritten to show is requested locally.</t>
        </r>
      </text>
    </comment>
    <comment ref="AV13" authorId="0" shapeId="0" xr:uid="{00000000-0006-0000-0100-000016000000}">
      <text>
        <r>
          <rPr>
            <sz val="9"/>
            <color indexed="81"/>
            <rFont val="Tahoma"/>
            <family val="2"/>
          </rPr>
          <t>Employment / student / etc. info.</t>
        </r>
      </text>
    </comment>
    <comment ref="CG13" authorId="0" shapeId="0" xr:uid="{00000000-0006-0000-0100-000017000000}">
      <text>
        <r>
          <rPr>
            <sz val="9"/>
            <color indexed="81"/>
            <rFont val="Tahoma"/>
            <family val="2"/>
          </rPr>
          <t>Employment / student / etc. info.</t>
        </r>
      </text>
    </comment>
    <comment ref="AV15" authorId="0" shapeId="0" xr:uid="{00000000-0006-0000-0100-000018000000}">
      <text>
        <r>
          <rPr>
            <sz val="9"/>
            <color indexed="81"/>
            <rFont val="Tahoma"/>
            <family val="2"/>
          </rPr>
          <t>Base monthly pay for this person if US military (not for civilian employees; put them in section B).</t>
        </r>
      </text>
    </comment>
    <comment ref="CG15" authorId="0" shapeId="0" xr:uid="{00000000-0006-0000-0100-000019000000}">
      <text>
        <r>
          <rPr>
            <sz val="9"/>
            <color indexed="81"/>
            <rFont val="Tahoma"/>
            <family val="2"/>
          </rPr>
          <t>Base monthly pay for this person if US military (not for civilian employees; put them in section B).</t>
        </r>
      </text>
    </comment>
    <comment ref="AV17" authorId="0" shapeId="0" xr:uid="{00000000-0006-0000-0100-00001A000000}">
      <text>
        <r>
          <rPr>
            <sz val="9"/>
            <color indexed="81"/>
            <rFont val="Tahoma"/>
            <family val="2"/>
          </rPr>
          <t>This is automatically filled when the rank and base pay are provided above.
If you need to REcalculate using a rate for a different year, use the rate override. Don't use this override for normal January calculations; per Theresa Sanders, the automatic rate should be used in January, even though it may not match the LES.</t>
        </r>
      </text>
    </comment>
    <comment ref="CG17" authorId="0" shapeId="0" xr:uid="{00000000-0006-0000-0100-00001B000000}">
      <text>
        <r>
          <rPr>
            <sz val="9"/>
            <color indexed="81"/>
            <rFont val="Tahoma"/>
            <family val="2"/>
          </rPr>
          <t>This is automatically filled when the rank and base pay are provided above, and when the sponsor doesn't have BAH. This should NOT happen anymore.
If you need to REcalculate using a rate for a different year, use the rate override. Don't use the override for normal January calculations; per Theresa Sanders, the automatic rate should be used in January, even though it may not match the LES.</t>
        </r>
      </text>
    </comment>
    <comment ref="AV18" authorId="0" shapeId="0" xr:uid="{00000000-0006-0000-0100-00001C000000}">
      <text>
        <r>
          <rPr>
            <sz val="9"/>
            <color indexed="81"/>
            <rFont val="Tahoma"/>
            <family val="2"/>
          </rPr>
          <t>This is automatically filled when the rank and base pay are provided above.
If you need to REcalculate using a rate for a different year, use the rate override. Don't use the override for normal January calculations; per Theresa Sanders, the automatic rate should be used in January, even though it may not match the LES.</t>
        </r>
      </text>
    </comment>
    <comment ref="CG18" authorId="0" shapeId="0" xr:uid="{00000000-0006-0000-0100-00001D000000}">
      <text>
        <r>
          <rPr>
            <sz val="9"/>
            <color indexed="81"/>
            <rFont val="Tahoma"/>
            <family val="2"/>
          </rPr>
          <t>This is automatically filled when the rank and base pay are provided above.
If you need to REcalculate using a rate for a different year, use the rate override. Don't use the override for normal January calculations; per Theresa Sanders, the automatic rate should be used in January, even though it may not match the LES.</t>
        </r>
      </text>
    </comment>
    <comment ref="AV19" authorId="0" shapeId="0" xr:uid="{00000000-0006-0000-0100-00001E000000}">
      <text>
        <r>
          <rPr>
            <sz val="9"/>
            <color indexed="81"/>
            <rFont val="Tahoma"/>
            <family val="2"/>
          </rPr>
          <t>Jump pay for this US military person, if applicable.</t>
        </r>
      </text>
    </comment>
    <comment ref="CG19" authorId="0" shapeId="0" xr:uid="{00000000-0006-0000-0100-00001F000000}">
      <text>
        <r>
          <rPr>
            <sz val="9"/>
            <color indexed="81"/>
            <rFont val="Tahoma"/>
            <family val="2"/>
          </rPr>
          <t>Jump pay for this US military person, if applicable.</t>
        </r>
      </text>
    </comment>
    <comment ref="AV20" authorId="0" shapeId="0" xr:uid="{00000000-0006-0000-0100-000020000000}">
      <text>
        <r>
          <rPr>
            <sz val="9"/>
            <color indexed="81"/>
            <rFont val="Tahoma"/>
            <family val="2"/>
          </rPr>
          <t>Sea pay for this US military person, if applicable.</t>
        </r>
      </text>
    </comment>
    <comment ref="CG20" authorId="0" shapeId="0" xr:uid="{00000000-0006-0000-0100-000021000000}">
      <text>
        <r>
          <rPr>
            <sz val="9"/>
            <color indexed="81"/>
            <rFont val="Tahoma"/>
            <family val="2"/>
          </rPr>
          <t>Sea pay for this US military person, if applicable.</t>
        </r>
      </text>
    </comment>
    <comment ref="AV21" authorId="0" shapeId="0" xr:uid="{00000000-0006-0000-0100-000022000000}">
      <text>
        <r>
          <rPr>
            <sz val="9"/>
            <color indexed="81"/>
            <rFont val="Tahoma"/>
            <family val="2"/>
          </rPr>
          <t>Proficiency/Foreign Language Pay for this US military person, if applicable.</t>
        </r>
      </text>
    </comment>
    <comment ref="CG21" authorId="0" shapeId="0" xr:uid="{00000000-0006-0000-0100-000023000000}">
      <text>
        <r>
          <rPr>
            <sz val="9"/>
            <color indexed="81"/>
            <rFont val="Tahoma"/>
            <family val="2"/>
          </rPr>
          <t>Proficiency/Foreign Language Pay for this US military person, if applicable.</t>
        </r>
      </text>
    </comment>
    <comment ref="AV22" authorId="0" shapeId="0" xr:uid="{00000000-0006-0000-0100-000024000000}">
      <text>
        <r>
          <rPr>
            <sz val="9"/>
            <color indexed="81"/>
            <rFont val="Tahoma"/>
            <family val="2"/>
          </rPr>
          <t>Flight Pay for this US military person, if applicable.</t>
        </r>
      </text>
    </comment>
    <comment ref="CG22" authorId="0" shapeId="0" xr:uid="{00000000-0006-0000-0100-000025000000}">
      <text>
        <r>
          <rPr>
            <sz val="9"/>
            <color indexed="81"/>
            <rFont val="Tahoma"/>
            <family val="2"/>
          </rPr>
          <t>Flight Pay for this US military person, if applicable.</t>
        </r>
      </text>
    </comment>
    <comment ref="AV23" authorId="0" shapeId="0" xr:uid="{00000000-0006-0000-0100-000026000000}">
      <text>
        <r>
          <rPr>
            <sz val="9"/>
            <color indexed="81"/>
            <rFont val="Tahoma"/>
            <family val="2"/>
          </rPr>
          <t>Other non-temporary US military pay for this person, if applicable; see the current fee policy, including the Child and Youth Fee Policy TFI Tip Sheet, for details.</t>
        </r>
      </text>
    </comment>
    <comment ref="CG23" authorId="0" shapeId="0" xr:uid="{00000000-0006-0000-0100-000027000000}">
      <text>
        <r>
          <rPr>
            <sz val="9"/>
            <color indexed="81"/>
            <rFont val="Tahoma"/>
            <family val="2"/>
          </rPr>
          <t>Other non-temporary US military pay for this person, if applicable; see the current fee policy, including the Child and Youth Fee Policy TFI Tip Sheet, for details.</t>
        </r>
      </text>
    </comment>
    <comment ref="AV28" authorId="0" shapeId="0" xr:uid="{00000000-0006-0000-0100-000028000000}">
      <text>
        <r>
          <rPr>
            <sz val="9"/>
            <color indexed="81"/>
            <rFont val="Tahoma"/>
            <family val="2"/>
          </rPr>
          <t>Weekly non-military income for this person, including second jobs for military.
If multiple amounts, enter as:
= 1 + 2
and you'll get the sum.</t>
        </r>
      </text>
    </comment>
    <comment ref="CG28" authorId="0" shapeId="0" xr:uid="{00000000-0006-0000-0100-000029000000}">
      <text>
        <r>
          <rPr>
            <sz val="9"/>
            <color indexed="81"/>
            <rFont val="Tahoma"/>
            <family val="2"/>
          </rPr>
          <t>Weekly non-military income for this person, including second jobs for military.
If multiple amounts, enter as:
= 1 + 2
and you'll get the sum.</t>
        </r>
      </text>
    </comment>
    <comment ref="AV29" authorId="0" shapeId="0" xr:uid="{00000000-0006-0000-0100-00002A000000}">
      <text>
        <r>
          <rPr>
            <sz val="9"/>
            <color indexed="81"/>
            <rFont val="Tahoma"/>
            <family val="2"/>
          </rPr>
          <t>Every-other week non-military (such as APF and NAF) income for this person, including second jobs for military. You can also enter LQA here.
If multiple amounts, enter as:
= 1 + 2
and you'll get the sum.</t>
        </r>
      </text>
    </comment>
    <comment ref="CG29" authorId="0" shapeId="0" xr:uid="{00000000-0006-0000-0100-00002B000000}">
      <text>
        <r>
          <rPr>
            <sz val="9"/>
            <color indexed="81"/>
            <rFont val="Tahoma"/>
            <family val="2"/>
          </rPr>
          <t>Every-other week non-military (such as APF and NAF) income for this person, including second jobs for military. You can also enter LQA here.
If multiple amounts, enter as:
= 1 + 2
and you'll get the sum.</t>
        </r>
      </text>
    </comment>
    <comment ref="AV30" authorId="0" shapeId="0" xr:uid="{00000000-0006-0000-0100-00002C000000}">
      <text>
        <r>
          <rPr>
            <sz val="9"/>
            <color indexed="81"/>
            <rFont val="Tahoma"/>
            <family val="2"/>
          </rPr>
          <t>Monthly non-military income for this person, including second jobs for military.
If multiple amounts, enter as:
= 1 + 2
and you'll get the sum.</t>
        </r>
      </text>
    </comment>
    <comment ref="CG30" authorId="0" shapeId="0" xr:uid="{00000000-0006-0000-0100-00002D000000}">
      <text>
        <r>
          <rPr>
            <sz val="9"/>
            <color indexed="81"/>
            <rFont val="Tahoma"/>
            <family val="2"/>
          </rPr>
          <t>Monthly non-military income for this person, including second jobs for military.
If multiple amounts, enter as:
= 1 + 2
and you'll get the sum.</t>
        </r>
      </text>
    </comment>
    <comment ref="AV31" authorId="0" shapeId="0" xr:uid="{00000000-0006-0000-0100-00002E000000}">
      <text>
        <r>
          <rPr>
            <sz val="9"/>
            <color indexed="81"/>
            <rFont val="Tahoma"/>
            <family val="2"/>
          </rPr>
          <t>Twice-a-month non-military income for this person, including second jobs for military.
If multiple amounts, enter as:
= 1 + 2
and you'll get the sum.</t>
        </r>
      </text>
    </comment>
    <comment ref="CG31" authorId="0" shapeId="0" xr:uid="{00000000-0006-0000-0100-00002F000000}">
      <text>
        <r>
          <rPr>
            <sz val="9"/>
            <color indexed="81"/>
            <rFont val="Tahoma"/>
            <family val="2"/>
          </rPr>
          <t>Twice-a-month non-military income for this person, including second jobs for military.
If multiple amounts, enter as:
= 1 + 2
and you'll get the sum.</t>
        </r>
      </text>
    </comment>
    <comment ref="AV32" authorId="0" shapeId="0" xr:uid="{00000000-0006-0000-0100-000030000000}">
      <text>
        <r>
          <rPr>
            <sz val="9"/>
            <color indexed="81"/>
            <rFont val="Tahoma"/>
            <family val="2"/>
          </rPr>
          <t>You can enter negative value for Sched C; it will be calculated as 0.
Annual non-military income for this person, including second jobs for military.
If multiple amounts, enter as:
= 1 + 2
and you'll get the sum.</t>
        </r>
      </text>
    </comment>
    <comment ref="CG32" authorId="0" shapeId="0" xr:uid="{00000000-0006-0000-0100-000031000000}">
      <text>
        <r>
          <rPr>
            <sz val="9"/>
            <color indexed="81"/>
            <rFont val="Tahoma"/>
            <family val="2"/>
          </rPr>
          <t>You can enter negative value for Sched C; it will be calculated as 0.
Annual non-military income for this person, including second jobs for military.
If multiple amounts, enter as:
= 1 + 2
and you'll get the sum.</t>
        </r>
      </text>
    </comment>
    <comment ref="AV33" authorId="0" shapeId="0" xr:uid="{00000000-0006-0000-0100-000032000000}">
      <text>
        <r>
          <rPr>
            <sz val="9"/>
            <color indexed="81"/>
            <rFont val="Tahoma"/>
            <family val="2"/>
          </rPr>
          <t>Annual other non-military income for this person, including second jobs for military. See the current fee policy, including the Child and Youth Fee Policy TFI Tip Sheet, for details on what should be here.
If multiple amounts, enter as:
= 1 + 2
and you'll get the sum.</t>
        </r>
      </text>
    </comment>
    <comment ref="CG33" authorId="0" shapeId="0" xr:uid="{00000000-0006-0000-0100-000033000000}">
      <text>
        <r>
          <rPr>
            <sz val="9"/>
            <color indexed="81"/>
            <rFont val="Tahoma"/>
            <family val="2"/>
          </rPr>
          <t>Annual other non-military income for this person, including second jobs for military. See the current fee policy, including the Child and Youth Fee Policy TFI Tip Sheet, for details on what should be here.
If multiple amounts, enter as:
= 1 + 2
and you'll get the sum.</t>
        </r>
      </text>
    </comment>
    <comment ref="AV34" authorId="0" shapeId="0" xr:uid="{00000000-0006-0000-0100-000034000000}">
      <text>
        <r>
          <rPr>
            <sz val="9"/>
            <color indexed="81"/>
            <rFont val="Tahoma"/>
            <family val="2"/>
          </rPr>
          <t>Monthly retirement income (including military retirement) for this person.
If multiple amounts, enter as:
= 1 + 2
and you'll get the sum.</t>
        </r>
      </text>
    </comment>
    <comment ref="CG34" authorId="0" shapeId="0" xr:uid="{00000000-0006-0000-0100-000035000000}">
      <text>
        <r>
          <rPr>
            <sz val="9"/>
            <color indexed="81"/>
            <rFont val="Tahoma"/>
            <family val="2"/>
          </rPr>
          <t>Monthly retirement income (including military retirement) for this person.
If multiple amounts, enter as:
= 1 + 2
and you'll get the sum.</t>
        </r>
      </text>
    </comment>
    <comment ref="AV35" authorId="0" shapeId="0" xr:uid="{00000000-0006-0000-0100-000036000000}">
      <text>
        <r>
          <rPr>
            <sz val="9"/>
            <color indexed="81"/>
            <rFont val="Tahoma"/>
            <family val="2"/>
          </rPr>
          <t>Other periodic non-military income for this person, including second jobs for military. This is intended for teachers and other seasonal workers. Be sure to provide the number of periods and the period type over on the right.
If multiple amounts, enter as:
= 1 + 2
and you'll get the sum. Note all amounts must be for the same period; might be easier to calculate annual amount and use above in B5.</t>
        </r>
      </text>
    </comment>
    <comment ref="CG35" authorId="0" shapeId="0" xr:uid="{00000000-0006-0000-0100-000037000000}">
      <text>
        <r>
          <rPr>
            <sz val="9"/>
            <color indexed="81"/>
            <rFont val="Tahoma"/>
            <family val="2"/>
          </rPr>
          <t>Other periodic non-military income for this person, including second jobs for military. This is intended for teachers and other seasonal workers. Be sure to provide the number of periods and the period type over on the right.
If multiple amounts, enter as:
= 1 + 2
and you'll get the sum. Note all amounts must be for the same period; might be easier to calculate annual amount and use above in B5.</t>
        </r>
      </text>
    </comment>
    <comment ref="CZ35" authorId="0" shapeId="0" xr:uid="{00000000-0006-0000-0100-000038000000}">
      <text>
        <r>
          <rPr>
            <sz val="9"/>
            <color indexed="81"/>
            <rFont val="Tahoma"/>
            <family val="2"/>
          </rPr>
          <t>Type or select the number of periods. Examples are are 2087 for the number of hours for some civilian LES, and 21 for the number of weeks for some teachers. Try to get documentation for the number of periods!</t>
        </r>
      </text>
    </comment>
    <comment ref="DI35" authorId="0" shapeId="0" xr:uid="{00000000-0006-0000-0100-000039000000}">
      <text>
        <r>
          <rPr>
            <sz val="9"/>
            <color indexed="81"/>
            <rFont val="Tahoma"/>
            <family val="2"/>
          </rPr>
          <t>Period type. Examples are hours/year (hrs/yr) and weeks/year (wks/yr). You can enter your own, such as average/year (avg/yr). Attach the calculator tape for any calculations.</t>
        </r>
      </text>
    </comment>
    <comment ref="I37" authorId="0" shapeId="0" xr:uid="{00000000-0006-0000-0100-00003A000000}">
      <text>
        <r>
          <rPr>
            <sz val="9"/>
            <color indexed="81"/>
            <rFont val="Tahoma"/>
            <family val="2"/>
          </rPr>
          <t>Fee override days. Use this ONLY when instructed to by IMCOM, when the new fee policy is delayed.
If the fee policy has not been delayed, you should be using the new version of the TFI calculator with the new rates.
This amount is added to the date in column L on the Lists sheet to change the apparent end date.</t>
        </r>
      </text>
    </comment>
    <comment ref="AV37" authorId="0" shapeId="0" xr:uid="{00000000-0006-0000-0100-00003B000000}">
      <text>
        <r>
          <rPr>
            <sz val="9"/>
            <color indexed="81"/>
            <rFont val="Tahoma"/>
            <family val="2"/>
          </rPr>
          <t>Application override date, dMMMyy, dMMMyyyy, or mm/dd/yyyy. Use ONLY when:
* Testing a new version of this tool with a future date.
* An error was made in the calculation for a household, and you need to REcalculate it with the data which was in effect on that date when tool includes data for multiple periods).
This affects:
* BAH (selects rate for designated year)
* BAS (selects rate for designated year)
* Fee CATegory (selects income range for designated year)
* child ages (calculates age as of date)
* date of approval</t>
        </r>
      </text>
    </comment>
    <comment ref="BL37" authorId="0" shapeId="0" xr:uid="{00000000-0006-0000-0100-00003C000000}">
      <text>
        <r>
          <rPr>
            <sz val="9"/>
            <color indexed="81"/>
            <rFont val="Tahoma"/>
            <family val="2"/>
          </rPr>
          <t>Overrides the "Prepared By" name. This should only be used when the wrong name is automatically shown in cell AD49. First make sure you're not using someone else's login, which is a no-no!</t>
        </r>
      </text>
    </comment>
    <comment ref="CG37" authorId="0" shapeId="0" xr:uid="{00000000-0006-0000-0100-00003D000000}">
      <text>
        <r>
          <rPr>
            <sz val="9"/>
            <color indexed="81"/>
            <rFont val="Tahoma"/>
            <family val="2"/>
          </rPr>
          <t>Override the preparation date, dMMMyy, dMMMyyyy, or mm/dd/yyyy. This should always be automatic (today's date), but this override is available just in case you have a good reason.</t>
        </r>
      </text>
    </comment>
    <comment ref="CW37" authorId="0" shapeId="0" xr:uid="{00000000-0006-0000-0100-00003E000000}">
      <text>
        <r>
          <rPr>
            <sz val="9"/>
            <color indexed="81"/>
            <rFont val="Tahoma"/>
            <family val="2"/>
          </rPr>
          <t>Provides a printed verification date, dMMMyy, dMMMyyyy, or mm/dd/yyyy -- if you can think of a good reason for it. Normally this should always be hand-written by the person who is verifying.</t>
        </r>
      </text>
    </comment>
    <comment ref="DR37" authorId="0" shapeId="0" xr:uid="{00000000-0006-0000-0100-00003F000000}">
      <text>
        <r>
          <rPr>
            <sz val="9"/>
            <color indexed="81"/>
            <rFont val="Tahoma"/>
            <family val="2"/>
          </rPr>
          <t>Use this to override the quoted CATegory in box 12 of the DD2652. This should not be needed.
If you find a need to use this, please notify Theresa Sanders of the conditions which caused this need.</t>
        </r>
      </text>
    </comment>
    <comment ref="AV38" authorId="1" shapeId="0" xr:uid="{00000000-0006-0000-0100-000040000000}">
      <text>
        <r>
          <rPr>
            <sz val="9"/>
            <color indexed="81"/>
            <rFont val="Tahoma"/>
            <family val="2"/>
          </rPr>
          <t xml:space="preserve">Use this for special situations:
* </t>
        </r>
        <r>
          <rPr>
            <b/>
            <sz val="9"/>
            <color indexed="81"/>
            <rFont val="Tahoma"/>
            <family val="2"/>
          </rPr>
          <t>Just started work</t>
        </r>
        <r>
          <rPr>
            <sz val="9"/>
            <color indexed="81"/>
            <rFont val="Tahoma"/>
            <family val="2"/>
          </rPr>
          <t>. Registering with employer memo; must provide pay stubs later. 90 days should be more than adequate.</t>
        </r>
      </text>
    </comment>
    <comment ref="CW39" authorId="0" shapeId="0" xr:uid="{00000000-0006-0000-0100-000041000000}">
      <text>
        <r>
          <rPr>
            <sz val="9"/>
            <color indexed="81"/>
            <rFont val="Tahoma"/>
            <family val="2"/>
          </rPr>
          <t>When is update due by?</t>
        </r>
      </text>
    </comment>
    <comment ref="DR39" authorId="0" shapeId="0" xr:uid="{00000000-0006-0000-0100-000042000000}">
      <text>
        <r>
          <rPr>
            <sz val="9"/>
            <color indexed="81"/>
            <rFont val="Tahoma"/>
            <family val="2"/>
          </rPr>
          <t>PCS admin assistant initials confirming that document verfication tickler was put into CYMS.</t>
        </r>
      </text>
    </comment>
    <comment ref="I40" authorId="0" shapeId="0" xr:uid="{00000000-0006-0000-0100-000043000000}">
      <text>
        <r>
          <rPr>
            <sz val="9"/>
            <color indexed="81"/>
            <rFont val="Tahoma"/>
            <family val="2"/>
          </rPr>
          <t>Enter a value here to update the pay stub suspense date by that much.</t>
        </r>
      </text>
    </comment>
    <comment ref="DR40" authorId="0" shapeId="0" xr:uid="{00000000-0006-0000-0100-000044000000}">
      <text>
        <r>
          <rPr>
            <sz val="9"/>
            <color indexed="81"/>
            <rFont val="Tahoma"/>
            <family val="2"/>
          </rPr>
          <t>MCC priority code for this HH. This is now required.
This does not override emergency placements.</t>
        </r>
      </text>
    </comment>
    <comment ref="DR41" authorId="0" shapeId="0" xr:uid="{00000000-0006-0000-0100-000045000000}">
      <text>
        <r>
          <rPr>
            <sz val="9"/>
            <color indexed="81"/>
            <rFont val="Tahoma"/>
            <family val="2"/>
          </rPr>
          <t>This is the TFI amount to put into CYMS.</t>
        </r>
      </text>
    </comment>
    <comment ref="DR42" authorId="0" shapeId="0" xr:uid="{00000000-0006-0000-0100-000046000000}">
      <text>
        <r>
          <rPr>
            <sz val="9"/>
            <color indexed="81"/>
            <rFont val="Tahoma"/>
            <family val="2"/>
          </rPr>
          <t xml:space="preserve">This is the calculated CATegory. In some cases, it may ignore the amount, such as rank=Other, or incomplete income information.
</t>
        </r>
      </text>
    </comment>
    <comment ref="K46" authorId="0" shapeId="0" xr:uid="{00000000-0006-0000-0100-000047000000}">
      <text>
        <r>
          <rPr>
            <sz val="9"/>
            <color indexed="81"/>
            <rFont val="Tahoma"/>
            <family val="2"/>
          </rPr>
          <t>Names of children</t>
        </r>
      </text>
    </comment>
    <comment ref="AV46" authorId="0" shapeId="0" xr:uid="{00000000-0006-0000-0100-000048000000}">
      <text>
        <r>
          <rPr>
            <sz val="9"/>
            <color indexed="81"/>
            <rFont val="Tahoma"/>
            <family val="2"/>
          </rPr>
          <t>Child's birthdate, 
MM/DD/YYYY
Dark green indicates the youngest child. The youngest child in care gets the full rate, while older children get the multi-child discount.
If at least one child is at FCC, the youngest child at FCC gets the full rate, while all others, including at CDC/SAC, get the multi-child discount.</t>
        </r>
      </text>
    </comment>
    <comment ref="BR46" authorId="0" shapeId="0" xr:uid="{00000000-0006-0000-0100-000049000000}">
      <text>
        <r>
          <rPr>
            <sz val="9"/>
            <color indexed="81"/>
            <rFont val="Tahoma"/>
            <family val="2"/>
          </rPr>
          <t>Care requested for child; either pick or type.</t>
        </r>
      </text>
    </comment>
    <comment ref="CR46" authorId="0" shapeId="0" xr:uid="{00000000-0006-0000-0100-00004A000000}">
      <text>
        <r>
          <rPr>
            <sz val="9"/>
            <color indexed="81"/>
            <rFont val="Tahoma"/>
            <family val="2"/>
          </rPr>
          <t>Select vacation type for CDC children. For CDC 4-week, don't forget to enroll in 90xx99 and change billing.
Leave blank if not enrolling now.</t>
        </r>
      </text>
    </comment>
    <comment ref="DC46" authorId="0" shapeId="0" xr:uid="{00000000-0006-0000-0100-00004B000000}">
      <text>
        <r>
          <rPr>
            <sz val="9"/>
            <color indexed="81"/>
            <rFont val="Tahoma"/>
            <family val="2"/>
          </rPr>
          <t>Type FULL rate amount (no discounts).</t>
        </r>
      </text>
    </comment>
    <comment ref="DR46" authorId="0" shapeId="0" xr:uid="{00000000-0006-0000-0100-00004C000000}">
      <text>
        <r>
          <rPr>
            <sz val="9"/>
            <color indexed="81"/>
            <rFont val="Tahoma"/>
            <family val="2"/>
          </rPr>
          <t>Have Sponsor initial here, to indicate that this info is correct. If not enrolling in care at this time, the 2/4-week choice can be decided later.</t>
        </r>
      </text>
    </comment>
    <comment ref="AD51" authorId="0" shapeId="0" xr:uid="{00000000-0006-0000-0100-00004D000000}">
      <text>
        <r>
          <rPr>
            <sz val="9"/>
            <color indexed="81"/>
            <rFont val="Tahoma"/>
            <family val="2"/>
          </rPr>
          <t>This should be the name of the person who completed this form. If this isn't correct (such as showing a DOD ID number instead), override by typing the correct name in the appropriate override field (BL34) in row 34. Parentheses indicates the name was overridden.</t>
        </r>
      </text>
    </comment>
    <comment ref="DR51" authorId="0" shapeId="0" xr:uid="{00000000-0006-0000-0100-00004E000000}">
      <text>
        <r>
          <rPr>
            <sz val="9"/>
            <color indexed="81"/>
            <rFont val="Tahoma"/>
            <family val="2"/>
          </rPr>
          <t>This should always be today's date. If you determine that a different date should be here for some reason, type the "correct" date into the appropriate override field (CG34) on row 34.</t>
        </r>
      </text>
    </comment>
    <comment ref="AD52" authorId="0" shapeId="0" xr:uid="{00000000-0006-0000-0100-00004F000000}">
      <text>
        <r>
          <rPr>
            <sz val="9"/>
            <color indexed="81"/>
            <rFont val="Tahoma"/>
            <family val="2"/>
          </rPr>
          <t>This is where a second person from PCS signs to verify that the form was filled out completely, calculated accurately, and all income was included.</t>
        </r>
      </text>
    </comment>
    <comment ref="DR52" authorId="0" shapeId="0" xr:uid="{00000000-0006-0000-0100-000050000000}">
      <text>
        <r>
          <rPr>
            <sz val="9"/>
            <color indexed="81"/>
            <rFont val="Tahoma"/>
            <family val="2"/>
          </rPr>
          <t>This should normally be hand-written by whomever verifies this form. If you want/need the verification date to be printed for some reason, go to row 34 and type the "correct" date into the appropriate override field (CW34).</t>
        </r>
      </text>
    </comment>
    <comment ref="AV57" authorId="0" shapeId="0" xr:uid="{00000000-0006-0000-0100-000051000000}">
      <text>
        <r>
          <rPr>
            <sz val="9"/>
            <color indexed="81"/>
            <rFont val="Tahoma"/>
            <family val="2"/>
          </rPr>
          <t>Signatures of adults who contribute to the welfare of the child(ren).</t>
        </r>
      </text>
    </comment>
    <comment ref="K93" authorId="0" shapeId="0" xr:uid="{00000000-0006-0000-0100-000052000000}">
      <text>
        <r>
          <rPr>
            <sz val="9"/>
            <color indexed="81"/>
            <rFont val="Tahoma"/>
            <family val="2"/>
          </rPr>
          <t>See columns EM and EN above for what goes into this figure.</t>
        </r>
      </text>
    </comment>
    <comment ref="Y93" authorId="0" shapeId="0" xr:uid="{00000000-0006-0000-0100-000053000000}">
      <text>
        <r>
          <rPr>
            <sz val="9"/>
            <color indexed="81"/>
            <rFont val="Tahoma"/>
            <family val="2"/>
          </rPr>
          <t>See columns EM and EN above for what goes into this figure.</t>
        </r>
      </text>
    </comment>
    <comment ref="BC93" authorId="0" shapeId="0" xr:uid="{00000000-0006-0000-0100-000054000000}">
      <text>
        <r>
          <rPr>
            <sz val="9"/>
            <color indexed="81"/>
            <rFont val="Tahoma"/>
            <family val="2"/>
          </rPr>
          <t>See columns EM and EN above for what goes into this figure.</t>
        </r>
      </text>
    </comment>
    <comment ref="CF93" authorId="0" shapeId="0" xr:uid="{00000000-0006-0000-0100-000055000000}">
      <text>
        <r>
          <rPr>
            <sz val="9"/>
            <color indexed="81"/>
            <rFont val="Tahoma"/>
            <family val="2"/>
          </rPr>
          <t>See columns EM and EN above for what goes into this figure.</t>
        </r>
      </text>
    </comment>
    <comment ref="DA93" authorId="0" shapeId="0" xr:uid="{00000000-0006-0000-0100-000056000000}">
      <text>
        <r>
          <rPr>
            <sz val="9"/>
            <color indexed="81"/>
            <rFont val="Tahoma"/>
            <family val="2"/>
          </rPr>
          <t>See columns EM and EN above for what goes into this figure.</t>
        </r>
      </text>
    </comment>
    <comment ref="CI96" authorId="0" shapeId="0" xr:uid="{00000000-0006-0000-0100-000057000000}">
      <text>
        <r>
          <rPr>
            <sz val="9"/>
            <color indexed="81"/>
            <rFont val="Tahoma"/>
            <family val="2"/>
          </rPr>
          <t>See columns EM and EN above for what goes into this figure.</t>
        </r>
      </text>
    </comment>
    <comment ref="K98" authorId="0" shapeId="0" xr:uid="{00000000-0006-0000-0100-000058000000}">
      <text>
        <r>
          <rPr>
            <sz val="9"/>
            <color indexed="81"/>
            <rFont val="Tahoma"/>
            <family val="2"/>
          </rPr>
          <t>See columns EM and EN above for what goes into this figure.</t>
        </r>
      </text>
    </comment>
    <comment ref="CI98" authorId="0" shapeId="0" xr:uid="{00000000-0006-0000-0100-000059000000}">
      <text>
        <r>
          <rPr>
            <sz val="9"/>
            <color indexed="81"/>
            <rFont val="Tahoma"/>
            <family val="2"/>
          </rPr>
          <t>See columns EM and EN 
above for what goes into this figure.</t>
        </r>
      </text>
    </comment>
    <comment ref="K103" authorId="0" shapeId="0" xr:uid="{00000000-0006-0000-0100-00005A000000}">
      <text>
        <r>
          <rPr>
            <sz val="9"/>
            <color indexed="81"/>
            <rFont val="Tahoma"/>
            <family val="2"/>
          </rPr>
          <t>Sponsor signs here!</t>
        </r>
      </text>
    </comment>
    <comment ref="BE103" authorId="0" shapeId="0" xr:uid="{00000000-0006-0000-0100-00005B000000}">
      <text>
        <r>
          <rPr>
            <sz val="9"/>
            <color indexed="81"/>
            <rFont val="Tahoma"/>
            <family val="2"/>
          </rPr>
          <t>Spouse/partner/etc (just one) signs here!</t>
        </r>
      </text>
    </comment>
    <comment ref="CX103" authorId="0" shapeId="0" xr:uid="{00000000-0006-0000-0100-00005C000000}">
      <text>
        <r>
          <rPr>
            <sz val="9"/>
            <color indexed="81"/>
            <rFont val="Tahoma"/>
            <family val="2"/>
          </rPr>
          <t>If Sponsor and spouse/partner/etc sign on different days, this should be the latter day.</t>
        </r>
      </text>
    </comment>
    <comment ref="K106" authorId="0" shapeId="0" xr:uid="{00000000-0006-0000-0100-00005D000000}">
      <text>
        <r>
          <rPr>
            <b/>
            <sz val="9"/>
            <color indexed="81"/>
            <rFont val="Tahoma"/>
            <family val="2"/>
          </rPr>
          <t xml:space="preserve">This is now required. </t>
        </r>
        <r>
          <rPr>
            <sz val="9"/>
            <color indexed="81"/>
            <rFont val="Tahoma"/>
            <family val="2"/>
          </rPr>
          <t>See cell DR39.</t>
        </r>
      </text>
    </comment>
    <comment ref="AG106" authorId="0" shapeId="0" xr:uid="{00000000-0006-0000-0100-00005E000000}">
      <text>
        <r>
          <rPr>
            <sz val="9"/>
            <color indexed="81"/>
            <rFont val="Tahoma"/>
            <family val="2"/>
          </rPr>
          <t>If there are parentheses, it means the CATegory was overridden by cell DR36.</t>
        </r>
      </text>
    </comment>
    <comment ref="CB106" authorId="0" shapeId="0" xr:uid="{00000000-0006-0000-0100-00005F000000}">
      <text>
        <r>
          <rPr>
            <sz val="9"/>
            <color indexed="81"/>
            <rFont val="Tahoma"/>
            <family val="2"/>
          </rPr>
          <t>If there are parentheses, it means that this date was overridden in cell AV36.</t>
        </r>
      </text>
    </comment>
    <comment ref="CW106" authorId="0" shapeId="0" xr:uid="{00000000-0006-0000-0100-000060000000}">
      <text>
        <r>
          <rPr>
            <sz val="9"/>
            <color indexed="81"/>
            <rFont val="Tahoma"/>
            <family val="2"/>
          </rPr>
          <t>Signature by authorized staff member, per local policy.</t>
        </r>
      </text>
    </comment>
  </commentList>
</comments>
</file>

<file path=xl/sharedStrings.xml><?xml version="1.0" encoding="utf-8"?>
<sst xmlns="http://schemas.openxmlformats.org/spreadsheetml/2006/main" count="4771" uniqueCount="689">
  <si>
    <t>Age</t>
  </si>
  <si>
    <t>b.</t>
  </si>
  <si>
    <t>c.</t>
  </si>
  <si>
    <t>d.</t>
  </si>
  <si>
    <t>1) BASE PAY</t>
  </si>
  <si>
    <t>3) BAS (subsistance allowance)</t>
  </si>
  <si>
    <t>Other</t>
  </si>
  <si>
    <t>Initials</t>
  </si>
  <si>
    <t>Date</t>
  </si>
  <si>
    <t>Sponsor</t>
  </si>
  <si>
    <t>O1E</t>
  </si>
  <si>
    <t>O2E</t>
  </si>
  <si>
    <t>O3E</t>
  </si>
  <si>
    <t>Flight Pay</t>
  </si>
  <si>
    <t>Demo Pay</t>
  </si>
  <si>
    <t>Sea Pay</t>
  </si>
  <si>
    <t>Proficency Pay</t>
  </si>
  <si>
    <t>Jump Pay</t>
  </si>
  <si>
    <t>Low</t>
  </si>
  <si>
    <t>High</t>
  </si>
  <si>
    <t>DoD Civilian</t>
  </si>
  <si>
    <t>DoD Contractor</t>
  </si>
  <si>
    <t xml:space="preserve">Other Federal </t>
  </si>
  <si>
    <t>Retiree</t>
  </si>
  <si>
    <t>(Gross Income) =</t>
  </si>
  <si>
    <t>Instructions for Application For Department Of Defense Child Care Fees</t>
  </si>
  <si>
    <t>a.</t>
  </si>
  <si>
    <t>Sub-Total Monthly Military Income:</t>
  </si>
  <si>
    <t>e.</t>
  </si>
  <si>
    <t>2) BAH (Housing)</t>
  </si>
  <si>
    <t>Command/Employer:</t>
  </si>
  <si>
    <t>Command/Employer Phone</t>
  </si>
  <si>
    <t>x 12</t>
  </si>
  <si>
    <t>Total Military Income</t>
  </si>
  <si>
    <r>
      <t xml:space="preserve">Name: </t>
    </r>
    <r>
      <rPr>
        <sz val="6"/>
        <color theme="1"/>
        <rFont val="Calibri"/>
        <family val="2"/>
        <scheme val="minor"/>
      </rPr>
      <t xml:space="preserve"> (Last, First MI)</t>
    </r>
  </si>
  <si>
    <t>(Gross Other) =</t>
  </si>
  <si>
    <t>Care Requested</t>
  </si>
  <si>
    <t>Total Non-Military Income</t>
  </si>
  <si>
    <t xml:space="preserve">B. Non-military Income: </t>
  </si>
  <si>
    <t>Date of birth</t>
  </si>
  <si>
    <t>CDC Vacation</t>
  </si>
  <si>
    <t>Need new FY Fee Policy!</t>
  </si>
  <si>
    <t>C. Document Verification</t>
  </si>
  <si>
    <t>D. Total Family Income (TFI)</t>
  </si>
  <si>
    <t>E. Fee Category</t>
  </si>
  <si>
    <t xml:space="preserve">2) Enter the sponsor's and spouse's/other adult/domestic partner's full names, sponsor's command and spouse's/other adult/domestic partner's employer. </t>
  </si>
  <si>
    <t>+</t>
  </si>
  <si>
    <t>=</t>
  </si>
  <si>
    <t>Enter Prep Date</t>
  </si>
  <si>
    <t>4) Jump Pay:</t>
  </si>
  <si>
    <t>5) Sea Pay:</t>
  </si>
  <si>
    <t>6) Proficiency/Foreign Language Pay:</t>
  </si>
  <si>
    <t>7) Flight Pay:</t>
  </si>
  <si>
    <t>A. Military Income (If Dual Military, enter highest-ranking member as Sponsor)</t>
  </si>
  <si>
    <t>BAH RC/T w/dependents</t>
  </si>
  <si>
    <t>BAS</t>
  </si>
  <si>
    <t>3 Day 3 Hr</t>
  </si>
  <si>
    <t>2 Day 3 Hr</t>
  </si>
  <si>
    <t>MST Camp</t>
  </si>
  <si>
    <t>SAC/K Camp</t>
  </si>
  <si>
    <t>Part Time</t>
  </si>
  <si>
    <t>Full Day</t>
  </si>
  <si>
    <t>Care Type</t>
  </si>
  <si>
    <t>5 Day 3 Hr / 4 Day 3.5 Hr</t>
  </si>
  <si>
    <r>
      <t xml:space="preserve">3) Rank: Choose the appropriate drop down for Sponsor type.  </t>
    </r>
    <r>
      <rPr>
        <b/>
        <sz val="12"/>
        <color theme="1"/>
        <rFont val="Calibri"/>
        <family val="2"/>
        <scheme val="minor"/>
      </rPr>
      <t>Other</t>
    </r>
    <r>
      <rPr>
        <sz val="12"/>
        <color theme="1"/>
        <rFont val="Calibri"/>
        <family val="2"/>
        <scheme val="minor"/>
      </rPr>
      <t xml:space="preserve"> is classified as those non-eligible patrons.  </t>
    </r>
    <r>
      <rPr>
        <b/>
        <sz val="12"/>
        <color theme="1"/>
        <rFont val="Calibri"/>
        <family val="2"/>
        <scheme val="minor"/>
      </rPr>
      <t>Other</t>
    </r>
    <r>
      <rPr>
        <sz val="12"/>
        <color theme="1"/>
        <rFont val="Calibri"/>
        <family val="2"/>
        <scheme val="minor"/>
      </rPr>
      <t xml:space="preserve"> can also be used for unemployed or student, including Fallen Warrior households.</t>
    </r>
  </si>
  <si>
    <t>1) Weekly income</t>
  </si>
  <si>
    <t>3) Monthly income</t>
  </si>
  <si>
    <t>4) Semi-Monthly income</t>
  </si>
  <si>
    <t>5) Annual income</t>
  </si>
  <si>
    <t>Messages:</t>
  </si>
  <si>
    <t xml:space="preserve"> yr</t>
  </si>
  <si>
    <t>s</t>
  </si>
  <si>
    <t xml:space="preserve"> / </t>
  </si>
  <si>
    <t>C:\USERS\</t>
  </si>
  <si>
    <t>2) Bi-Weekly income</t>
  </si>
  <si>
    <t>Start</t>
  </si>
  <si>
    <t>End</t>
  </si>
  <si>
    <t>Income range</t>
  </si>
  <si>
    <t>CAT</t>
  </si>
  <si>
    <t>CATn</t>
  </si>
  <si>
    <t>This household may qualify for hardship</t>
  </si>
  <si>
    <t>End0</t>
  </si>
  <si>
    <t>O-10</t>
  </si>
  <si>
    <t>O-9</t>
  </si>
  <si>
    <t>O-8</t>
  </si>
  <si>
    <t>O-7</t>
  </si>
  <si>
    <t>O-6</t>
  </si>
  <si>
    <t>O-5</t>
  </si>
  <si>
    <t>O-4</t>
  </si>
  <si>
    <t>O-3</t>
  </si>
  <si>
    <t>O-2</t>
  </si>
  <si>
    <t>O-1</t>
  </si>
  <si>
    <t>W-5</t>
  </si>
  <si>
    <t>W-4</t>
  </si>
  <si>
    <t>W-3</t>
  </si>
  <si>
    <t>W-2</t>
  </si>
  <si>
    <t>W-1</t>
  </si>
  <si>
    <t>E-9</t>
  </si>
  <si>
    <t>E-8</t>
  </si>
  <si>
    <t>E-7</t>
  </si>
  <si>
    <t>E-6</t>
  </si>
  <si>
    <t>E-5</t>
  </si>
  <si>
    <t>E-4</t>
  </si>
  <si>
    <t>E-3</t>
  </si>
  <si>
    <t>E-2</t>
  </si>
  <si>
    <t>E-1</t>
  </si>
  <si>
    <t>Year</t>
  </si>
  <si>
    <t>Rank</t>
  </si>
  <si>
    <t>#</t>
  </si>
  <si>
    <t>Lookup</t>
  </si>
  <si>
    <t>Overrides:</t>
  </si>
  <si>
    <t>DoD</t>
  </si>
  <si>
    <t>Type</t>
  </si>
  <si>
    <t>Verified By
(print and sign)</t>
  </si>
  <si>
    <t>All Adults contributing
to child's welfare</t>
  </si>
  <si>
    <t>Child's Name
(Last, First MI)</t>
  </si>
  <si>
    <t>x</t>
  </si>
  <si>
    <t>Signature of Sponsor</t>
  </si>
  <si>
    <t>Signature of Spouse/Partner</t>
  </si>
  <si>
    <t>Signature of Other adult contributing
to the welfare of the child(ren)</t>
  </si>
  <si>
    <t>--&gt;5c(1)</t>
  </si>
  <si>
    <t>--&gt;5c(2)</t>
  </si>
  <si>
    <t>--&gt;5c(3)</t>
  </si>
  <si>
    <t>--&gt;5c(4)</t>
  </si>
  <si>
    <t>--&gt;6b</t>
  </si>
  <si>
    <t>--&gt;7</t>
  </si>
  <si>
    <t>(--&gt;6b)</t>
  </si>
  <si>
    <r>
      <t xml:space="preserve">7) </t>
    </r>
    <r>
      <rPr>
        <b/>
        <sz val="12"/>
        <color theme="1"/>
        <rFont val="Calibri"/>
        <family val="2"/>
        <scheme val="minor"/>
      </rPr>
      <t>Section C- choose which document is submitted for Spouse's/Other Income verification</t>
    </r>
    <r>
      <rPr>
        <sz val="12"/>
        <color theme="1"/>
        <rFont val="Calibri"/>
        <family val="2"/>
        <scheme val="minor"/>
      </rPr>
      <t xml:space="preserve"> from the drop-down lists. The date below is only important IF the family member is UNEMPLOYED at the time the child starts in the program.  This date is 90 days after the first child's start date, it will automatically populated once dated by preparer (be sure to track this date once you complete the form).  If both adult family members are employed, disregard this date.  If someone is unemployed, this is a reminder that employment or student status must be achieved by this date. </t>
    </r>
  </si>
  <si>
    <r>
      <t>8)</t>
    </r>
    <r>
      <rPr>
        <b/>
        <sz val="12"/>
        <color theme="1"/>
        <rFont val="Calibri"/>
        <family val="2"/>
        <scheme val="minor"/>
      </rPr>
      <t xml:space="preserve"> Sections D, E</t>
    </r>
    <r>
      <rPr>
        <sz val="12"/>
        <color theme="1"/>
        <rFont val="Calibri"/>
        <family val="2"/>
        <scheme val="minor"/>
      </rPr>
      <t>- The total family income (TFI) will calculate in Section D.  The fee category will be populated based on Section D calculation.  Verify this is accurate with the current fee chart. If the fee chart is outdated, you can override the calculated category.</t>
    </r>
  </si>
  <si>
    <t>7) Retirement Income (monthly)</t>
  </si>
  <si>
    <t>8) Other periodic income</t>
  </si>
  <si>
    <t>F.                                                                 Family Information</t>
  </si>
  <si>
    <r>
      <t xml:space="preserve">6) In </t>
    </r>
    <r>
      <rPr>
        <b/>
        <sz val="12"/>
        <color theme="1"/>
        <rFont val="Calibri"/>
        <family val="2"/>
        <scheme val="minor"/>
      </rPr>
      <t>Section B</t>
    </r>
    <r>
      <rPr>
        <sz val="12"/>
        <color theme="1"/>
        <rFont val="Calibri"/>
        <family val="2"/>
        <scheme val="minor"/>
      </rPr>
      <t xml:space="preserve">, enter income under the appropriate column for either the sponsor or other. "Other" includes spouse, significant other, domestic partner, or any other adult contributing to the welfare of the child(ren).  Enter income on the line that applies to the regularity of payment, specifically:
</t>
    </r>
    <r>
      <rPr>
        <b/>
        <sz val="12"/>
        <color theme="1"/>
        <rFont val="Calibri"/>
        <family val="2"/>
        <scheme val="minor"/>
      </rPr>
      <t>NOTE</t>
    </r>
    <r>
      <rPr>
        <sz val="12"/>
        <color theme="1"/>
        <rFont val="Calibri"/>
        <family val="2"/>
        <scheme val="minor"/>
      </rPr>
      <t>: Unless there are multiple jobs, only complete one line in 2-5.
Weekly - received 52 weeks out of the year
Bi-Weekly - received every 2 weeks, or 26 times each year (i.e. every other Friday, etc.)
Monthly - received once every month, or 12 times a year
Semi-Monthly - received 2 times each month (such as on the 1st and 15th of each month)
Annually - received one time for the year</t>
    </r>
  </si>
  <si>
    <t xml:space="preserve">10) At the bottom of the form, the Admin Assistant will sign and date the form.  Depending on time or local policy, another employee (i.e. Director, Manager, Assistant Director, or Lead admin) will verify that all data is correctly entered on the form.  The sponsor will then sign and date the form. If another employee (i.e. Director, Manager, Assistant Director, or Lead admin) is not available to verify at the time of completion, then someone should verify by end of day.  </t>
  </si>
  <si>
    <t>Prepared/Signed By</t>
  </si>
  <si>
    <t>Monthly/Weekly rate</t>
  </si>
  <si>
    <t>FCC</t>
  </si>
  <si>
    <t>Vacation:</t>
  </si>
  <si>
    <t>Mo</t>
  </si>
  <si>
    <t>Wk</t>
  </si>
  <si>
    <t>Per</t>
  </si>
  <si>
    <t>MCC</t>
  </si>
  <si>
    <t>1A</t>
  </si>
  <si>
    <t>1B.1</t>
  </si>
  <si>
    <t>1B.2</t>
  </si>
  <si>
    <t>1B.3</t>
  </si>
  <si>
    <t>1B.4</t>
  </si>
  <si>
    <t>1B.5</t>
  </si>
  <si>
    <t>1C.1</t>
  </si>
  <si>
    <t>1C.2</t>
  </si>
  <si>
    <t>1D.1</t>
  </si>
  <si>
    <t>1D.2</t>
  </si>
  <si>
    <t>2A</t>
  </si>
  <si>
    <t>2B</t>
  </si>
  <si>
    <t>3A</t>
  </si>
  <si>
    <t>3B</t>
  </si>
  <si>
    <t>3C</t>
  </si>
  <si>
    <t>3D</t>
  </si>
  <si>
    <t>3E</t>
  </si>
  <si>
    <t>3F</t>
  </si>
  <si>
    <t>CDC 2-Wk</t>
  </si>
  <si>
    <t>CDC 4-Wk</t>
  </si>
  <si>
    <t>FCC 2-Wk</t>
  </si>
  <si>
    <t>SAC/YC</t>
  </si>
  <si>
    <t>Space Available</t>
  </si>
  <si>
    <t>Years of service</t>
  </si>
  <si>
    <t>Seeking employment</t>
  </si>
  <si>
    <t>This is used to check for valid combinations of Status, Branch, and Grade.</t>
  </si>
  <si>
    <t>Status</t>
  </si>
  <si>
    <t>Branch</t>
  </si>
  <si>
    <t>Grade</t>
  </si>
  <si>
    <t>Key</t>
  </si>
  <si>
    <t>Which</t>
  </si>
  <si>
    <t>Spouse</t>
  </si>
  <si>
    <t>CW2</t>
  </si>
  <si>
    <t>CW3</t>
  </si>
  <si>
    <t>CW4</t>
  </si>
  <si>
    <t>CW5</t>
  </si>
  <si>
    <t>MW5</t>
  </si>
  <si>
    <t>WO1</t>
  </si>
  <si>
    <t>Army</t>
  </si>
  <si>
    <t>Marines</t>
  </si>
  <si>
    <t>Navy</t>
  </si>
  <si>
    <t>Air Force</t>
  </si>
  <si>
    <t>Coast Guard</t>
  </si>
  <si>
    <t>Space Force</t>
  </si>
  <si>
    <t>CYS</t>
  </si>
  <si>
    <t>Base</t>
  </si>
  <si>
    <t>CDC</t>
  </si>
  <si>
    <t>MST</t>
  </si>
  <si>
    <t>P&amp;OS</t>
  </si>
  <si>
    <t>SAC</t>
  </si>
  <si>
    <t>YS&amp;F</t>
  </si>
  <si>
    <t>Admin</t>
  </si>
  <si>
    <t>Classroom</t>
  </si>
  <si>
    <t>Food</t>
  </si>
  <si>
    <t>Mgmt</t>
  </si>
  <si>
    <t>Support</t>
  </si>
  <si>
    <t>Trainer</t>
  </si>
  <si>
    <t>Works part-time</t>
  </si>
  <si>
    <t>Student FULL-time</t>
  </si>
  <si>
    <t>Student part-time</t>
  </si>
  <si>
    <t>Works FULL-time</t>
  </si>
  <si>
    <t>Less than a year of service</t>
  </si>
  <si>
    <t>NOT Seeking employment</t>
  </si>
  <si>
    <t>&lt;-- First row must be blank</t>
  </si>
  <si>
    <t>&lt;-- Separated for clarity</t>
  </si>
  <si>
    <t>&lt;-- Military items deliberately at bottom.</t>
  </si>
  <si>
    <t>&lt;-- Military items in order by branch, status, and grade, with Army at the top.</t>
  </si>
  <si>
    <t>&lt;-- Deliberately swapped to prevent consecutive blank rows</t>
  </si>
  <si>
    <t>&lt;-- Civilians are first, with CYS at top</t>
  </si>
  <si>
    <t>&lt;-- Supposedly Europe wants the branch also.</t>
  </si>
  <si>
    <t>&lt;-- Army first. Had a DODCIV with no branch, but decided to leave it out to reduce goofs.</t>
  </si>
  <si>
    <t>Student</t>
  </si>
  <si>
    <t>Retired military</t>
  </si>
  <si>
    <t>Unemployed</t>
  </si>
  <si>
    <t>Active Duty</t>
  </si>
  <si>
    <t>Other Civilian</t>
  </si>
  <si>
    <t>Full-time Reserve</t>
  </si>
  <si>
    <t>Eligible Contractor</t>
  </si>
  <si>
    <t>Gold Star Spouse</t>
  </si>
  <si>
    <t>Job details</t>
  </si>
  <si>
    <t>Z-EMPPT</t>
  </si>
  <si>
    <t>Z-EMPFT</t>
  </si>
  <si>
    <t>Z-UNEMSK</t>
  </si>
  <si>
    <t>Z-UNEMNS</t>
  </si>
  <si>
    <t>Z-STUFT</t>
  </si>
  <si>
    <t>Z-STUPT</t>
  </si>
  <si>
    <t>Code</t>
  </si>
  <si>
    <t>REMINDER: You can have Excel calculate for you. So, instead of calculating $199.52 per day for 7 days and entering $1396.64, you can just enter:     =199.52 * 7.</t>
  </si>
  <si>
    <t>&lt;-- At this time (2021 NDAA), Space Force does not have Guard or Reserve, and is using AF ranks.</t>
  </si>
  <si>
    <t>1 year of military or civil (gov't) service</t>
  </si>
  <si>
    <t>2 years of military or civil (gov't) service</t>
  </si>
  <si>
    <t>3 years of military or civil (gov't) service</t>
  </si>
  <si>
    <t>4 years of military or civil (gov't) service</t>
  </si>
  <si>
    <t>5 years of military or civil (gov't) service</t>
  </si>
  <si>
    <t>6 years of military or civil (gov't) service</t>
  </si>
  <si>
    <t>7 years of military or civil (gov't) service</t>
  </si>
  <si>
    <t>8 years of military or civil (gov't) service</t>
  </si>
  <si>
    <t>9 years of military or civil (gov't) service</t>
  </si>
  <si>
    <t>10 years of military or civil (gov't) service</t>
  </si>
  <si>
    <t>11 years of military or civil (gov't) service</t>
  </si>
  <si>
    <t>12 years of military or civil (gov't) service</t>
  </si>
  <si>
    <t>13 years of military or civil (gov't) service</t>
  </si>
  <si>
    <t>14 years of military or civil (gov't) service</t>
  </si>
  <si>
    <t>15 years of military or civil (gov't) service</t>
  </si>
  <si>
    <t>16 years of military or civil (gov't) service</t>
  </si>
  <si>
    <t>17 years of military or civil (gov't) service</t>
  </si>
  <si>
    <t>18 years of military or civil (gov't) service</t>
  </si>
  <si>
    <t>19 years of military or civil (gov't) service</t>
  </si>
  <si>
    <t>20 years of military or civil (gov't) service</t>
  </si>
  <si>
    <t>21 years of military or civil (gov't) service</t>
  </si>
  <si>
    <t>22 years of military or civil (gov't) service</t>
  </si>
  <si>
    <t>23 years of military or civil (gov't) service</t>
  </si>
  <si>
    <t>24 years of military or civil (gov't) service</t>
  </si>
  <si>
    <t>25 years of military or civil (gov't) service</t>
  </si>
  <si>
    <t>26 years of military or civil (gov't) service</t>
  </si>
  <si>
    <t>27 years of military or civil (gov't) service</t>
  </si>
  <si>
    <t>28 years of military or civil (gov't) service</t>
  </si>
  <si>
    <t>29 years of military or civil (gov't) service</t>
  </si>
  <si>
    <t>30 years of military or civil (gov't) service</t>
  </si>
  <si>
    <t>31 years of military or civil (gov't) service</t>
  </si>
  <si>
    <t>32 years of military or civil (gov't) service</t>
  </si>
  <si>
    <t>33 years of military or civil (gov't) service</t>
  </si>
  <si>
    <t>34 years of military or civil (gov't) service</t>
  </si>
  <si>
    <t>35 years of military or civil (gov't) service</t>
  </si>
  <si>
    <t>36 years of military or civil (gov't) service</t>
  </si>
  <si>
    <t>37 years of military or civil (gov't) service</t>
  </si>
  <si>
    <t>38 years of military or civil (gov't) service</t>
  </si>
  <si>
    <t>39 years of military or civil (gov't) service</t>
  </si>
  <si>
    <t>40 years of military or civil (gov't) service</t>
  </si>
  <si>
    <t>41 years of military or civil (gov't) service</t>
  </si>
  <si>
    <t>42 years of military or civil (gov't) service</t>
  </si>
  <si>
    <t>43 years of military or civil (gov't) service</t>
  </si>
  <si>
    <t>44 years of military or civil (gov't) service</t>
  </si>
  <si>
    <t>45 years of military or civil (gov't) service</t>
  </si>
  <si>
    <t>46 years of military or civil (gov't) service</t>
  </si>
  <si>
    <t>47 years of military or civil (gov't) service</t>
  </si>
  <si>
    <t>48 years of military or civil (gov't) service</t>
  </si>
  <si>
    <t>49 years of military or civil (gov't) service</t>
  </si>
  <si>
    <t>50+ years of military or civil (gov't) service</t>
  </si>
  <si>
    <t>Verification</t>
  </si>
  <si>
    <t>Message</t>
  </si>
  <si>
    <t>Tickler Initials</t>
  </si>
  <si>
    <t>Priority</t>
  </si>
  <si>
    <r>
      <t xml:space="preserve">5) </t>
    </r>
    <r>
      <rPr>
        <b/>
        <sz val="12"/>
        <color theme="1"/>
        <rFont val="Calibri"/>
        <family val="2"/>
        <scheme val="minor"/>
      </rPr>
      <t>Section B</t>
    </r>
    <r>
      <rPr>
        <sz val="12"/>
        <color theme="1"/>
        <rFont val="Calibri"/>
        <family val="2"/>
        <scheme val="minor"/>
      </rPr>
      <t xml:space="preserve"> is to annotate income from civilian or contractor sponsor, spouse, domestic partner, or significant other.  It will also be used for dual civilian and dual contractor income as well as any "other" income received by military members that is not listed in Section A above (i.e. pay from part-time job). </t>
    </r>
  </si>
  <si>
    <t>(Sponsor only)</t>
  </si>
  <si>
    <t>I</t>
  </si>
  <si>
    <t>Invalid</t>
  </si>
  <si>
    <t>W</t>
  </si>
  <si>
    <t>The AR19 CYMS Data Import Tool, tab Sec1b, was used to identify permitted combinations. W-WARRIOR and W-GOLDST are assumed to be variations of M-*, and N-DIRCAR is assumed to be a variation of N-DODCIV.</t>
  </si>
  <si>
    <t>Suspense date</t>
  </si>
  <si>
    <t>MCC priority:</t>
  </si>
  <si>
    <t>Group</t>
  </si>
  <si>
    <t>&lt;-- Must start with blank row for usability</t>
  </si>
  <si>
    <t>Override</t>
  </si>
  <si>
    <t>Active</t>
  </si>
  <si>
    <t>Contr</t>
  </si>
  <si>
    <t>DODCIV</t>
  </si>
  <si>
    <t>WW</t>
  </si>
  <si>
    <t>GS</t>
  </si>
  <si>
    <t>G/R</t>
  </si>
  <si>
    <t>Not Allowed</t>
  </si>
  <si>
    <t>Single</t>
  </si>
  <si>
    <t>Dual</t>
  </si>
  <si>
    <t>Spouse detail #</t>
  </si>
  <si>
    <t>Spouse detail code</t>
  </si>
  <si>
    <t>X</t>
  </si>
  <si>
    <t>Order</t>
  </si>
  <si>
    <t>Keep list sorted by Order+Key</t>
  </si>
  <si>
    <t>Valid Status/info combination?</t>
  </si>
  <si>
    <t>&lt;-- Parenthesis indicates an override.</t>
  </si>
  <si>
    <t>Private Civilian--IMCOM-approved</t>
  </si>
  <si>
    <t>S1</t>
  </si>
  <si>
    <t>S2</t>
  </si>
  <si>
    <t>S3</t>
  </si>
  <si>
    <t>T1</t>
  </si>
  <si>
    <t>T2</t>
  </si>
  <si>
    <t>T3</t>
  </si>
  <si>
    <t>Ok</t>
  </si>
  <si>
    <t>Gold Star Spouse / CYS</t>
  </si>
  <si>
    <t>Gold Star Spouse / Active Duty</t>
  </si>
  <si>
    <t>Gold Star Spouse / Full-time Reserve</t>
  </si>
  <si>
    <t>Gold Star Spouse / DoD Civilian</t>
  </si>
  <si>
    <t>Gold Star Spouse / Eligible Contractor</t>
  </si>
  <si>
    <t>Gold Star Spouse / Private Civilian--IMCOM-approved</t>
  </si>
  <si>
    <t>Gold Star Spouse / Retired military</t>
  </si>
  <si>
    <t>DoD Civilian / Active Duty</t>
  </si>
  <si>
    <t>DoD Civilian / Full-time Reserve</t>
  </si>
  <si>
    <t>Eligible Contractor / Active Duty</t>
  </si>
  <si>
    <t>Eligible Contractor / Full-time Reserve</t>
  </si>
  <si>
    <t>Private Civilian--IMCOM-approved / Active Duty</t>
  </si>
  <si>
    <t>Private Civilian--IMCOM-approved / Full-time Reserve</t>
  </si>
  <si>
    <t>Retired military / Active Duty</t>
  </si>
  <si>
    <t>Retired military / Full-time Reserve</t>
  </si>
  <si>
    <t>Retired military / DoD Civilian</t>
  </si>
  <si>
    <t>Retired military / Eligible Contractor</t>
  </si>
  <si>
    <t>Employment info</t>
  </si>
  <si>
    <t>Z-EMPFT2</t>
  </si>
  <si>
    <t>Wounded Warrior--GC-approved</t>
  </si>
  <si>
    <t>Federal Civilian (USPS, VA, etc.)</t>
  </si>
  <si>
    <t>Gold Star Spouse / Wounded Warrior--GC-approved</t>
  </si>
  <si>
    <t>Gold Star Spouse / Federal Civilian (USPS, VA, etc.)</t>
  </si>
  <si>
    <t>DoD Civilian / Wounded Warrior--GC-approved</t>
  </si>
  <si>
    <t>Eligible Contractor / Wounded Warrior--GC-approved</t>
  </si>
  <si>
    <t>Private Civilian--IMCOM-approved / Wounded Warrior--GC-approved</t>
  </si>
  <si>
    <t>Retired military / Wounded Warrior--GC-approved</t>
  </si>
  <si>
    <t>Retired military / Federal Civilian (USPS, VA, etc.)</t>
  </si>
  <si>
    <t>Federal Civilian (USPS, VA, etc.) / Wounded Warrior--GC-approved</t>
  </si>
  <si>
    <t>Federal Civilian (USPS, VA, etc.) / Active Duty</t>
  </si>
  <si>
    <t>Federal Civilian (USPS, VA, etc.) / Full-time Reserve</t>
  </si>
  <si>
    <t>Rank/Grade</t>
  </si>
  <si>
    <t>Key0</t>
  </si>
  <si>
    <t>Sponsor0</t>
  </si>
  <si>
    <t>Spouse0</t>
  </si>
  <si>
    <t>&lt;-- Fee policy typically takes effect Oct 1st and ends Sep 30th. BAS/BAH is always in effect Jan 1st to Dec 31st.</t>
  </si>
  <si>
    <t>Years in Government Service</t>
  </si>
  <si>
    <t>Other (locally determined)</t>
  </si>
  <si>
    <t>MCC Lookup</t>
  </si>
  <si>
    <t>MCC Sponsor or Spouse overrides</t>
  </si>
  <si>
    <t>MCC Priority!</t>
  </si>
  <si>
    <t>BAH type</t>
  </si>
  <si>
    <t>No income?</t>
  </si>
  <si>
    <t>Sponsor/spouse rank order</t>
  </si>
  <si>
    <t>Is sponsor/spouse a Full-time student?</t>
  </si>
  <si>
    <t>Is sponsor/spouse unemployed and looking?</t>
  </si>
  <si>
    <t>Sponsor/spouse SBR lookup</t>
  </si>
  <si>
    <t>Sponsor SBR group or spouse "dual"</t>
  </si>
  <si>
    <t>MCC Override</t>
  </si>
  <si>
    <t>MCC Priority lookup Row / col</t>
  </si>
  <si>
    <t>Validation status lookup (column)</t>
  </si>
  <si>
    <t>Validation info lookup (row)</t>
  </si>
  <si>
    <t>Find rank</t>
  </si>
  <si>
    <t>Lookup rank</t>
  </si>
  <si>
    <t>Is rank ok?</t>
  </si>
  <si>
    <t>Just started work</t>
  </si>
  <si>
    <t xml:space="preserve">employer pay stub(s), </t>
  </si>
  <si>
    <t>Work &amp; Student</t>
  </si>
  <si>
    <t>Exclusions</t>
  </si>
  <si>
    <t>Mil</t>
  </si>
  <si>
    <t>I certify that all of the above information is true and correct and that all family income of the sponsor and spouse/other adult contributing to the welfare of the child is being reported.  I understand that this information is being given in order to determine child care fees to be paid and that Federal funds are used to subsidize the cost of child care.  I also understand that the Installation Commander may verify the information on the application; and that deliberate misrepresentation of this information may subject me to prosecution under applicable State and Federal laws.  See 18 U.S.Code § 1001.</t>
  </si>
  <si>
    <t>No</t>
  </si>
  <si>
    <t>Group3</t>
  </si>
  <si>
    <t>Yes</t>
  </si>
  <si>
    <t>State Pre-K</t>
  </si>
  <si>
    <t>Other authorized care</t>
  </si>
  <si>
    <t>Spouse/Partner</t>
  </si>
  <si>
    <t>Other contributing Adult</t>
  </si>
  <si>
    <t>No Spouse/Partner</t>
  </si>
  <si>
    <t>Mil?</t>
  </si>
  <si>
    <t>Full-time Nat'l Guard</t>
  </si>
  <si>
    <t>DoD Civilian / Full-time Nat'l Guard</t>
  </si>
  <si>
    <t>Eligible Contractor / Full-time Nat'l Guard</t>
  </si>
  <si>
    <t>Federal Civilian (USPS, VA, etc.) / Full-time Nat'l Guard</t>
  </si>
  <si>
    <t>Private Civilian--IMCOM-approved / Full-time Nat'l Guard</t>
  </si>
  <si>
    <t>Retired military / Full-time Nat'l Guard</t>
  </si>
  <si>
    <t>Gold Star Spouse / Full-time Nat'l Guard</t>
  </si>
  <si>
    <t>Inactive Guard/Reserve?</t>
  </si>
  <si>
    <t>MST Before School</t>
  </si>
  <si>
    <t>SAC/K After School</t>
  </si>
  <si>
    <t>SAC/K Before School</t>
  </si>
  <si>
    <t>SAC/K B&amp;A School</t>
  </si>
  <si>
    <t>Not Applicable</t>
  </si>
  <si>
    <t>&lt;-- Message appears when fee chart is outdated.</t>
  </si>
  <si>
    <t>T4</t>
  </si>
  <si>
    <t>SA</t>
  </si>
  <si>
    <t>&lt;-- Message will appear when the household appears to qualify for hardship (fee exceeds 25% of TFI). 
      (To see what it looks like, type a large amount into a child "Monthly or wkly rate" field)</t>
  </si>
  <si>
    <t>State</t>
  </si>
  <si>
    <t>Minimum wage</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</si>
  <si>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</si>
  <si>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</si>
  <si>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</si>
  <si>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</si>
  <si>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</si>
  <si>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</si>
  <si>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</si>
  <si>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</si>
  <si>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</si>
  <si>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</si>
  <si>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</si>
  <si>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</si>
  <si>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</si>
  <si>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</si>
  <si>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</si>
  <si>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</si>
  <si>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</si>
  <si>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</si>
  <si>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</si>
  <si>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</si>
  <si>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</si>
  <si>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</si>
  <si>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</si>
  <si>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</si>
  <si>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</si>
  <si>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</si>
  <si>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</si>
  <si>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</si>
  <si>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</si>
  <si>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</si>
  <si>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</si>
  <si>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</si>
  <si>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</si>
  <si>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</si>
  <si>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</si>
  <si>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</si>
  <si>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</si>
  <si>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</si>
  <si>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</si>
  <si>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</si>
  <si>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South Carolina</t>
  </si>
  <si>
    <t>South Dakota</t>
  </si>
  <si>
    <t>Tennessee</t>
  </si>
  <si>
    <t>Texas</t>
  </si>
  <si>
    <t>Utah</t>
  </si>
  <si>
    <t>Vermont</t>
  </si>
  <si>
    <t>U.S. Virgin Islands</t>
  </si>
  <si>
    <t>Virginia</t>
  </si>
  <si>
    <t>Washington</t>
  </si>
  <si>
    <t>West Virginia</t>
  </si>
  <si>
    <t>Wisconsin</t>
  </si>
  <si>
    <t>Wyoming</t>
  </si>
  <si>
    <t>$13.00 effective August 1, 2021</t>
  </si>
  <si>
    <t>Annual indexing beginning July 1, 2021</t>
  </si>
  <si>
    <t>$10.00 September 30, 2021, with annual $1 increases to $15.00 by September 2026</t>
  </si>
  <si>
    <t>Alabama</t>
  </si>
  <si>
    <t>$14.00 for employers with 26 or more employees</t>
  </si>
  <si>
    <t>$5.15 if not covered by federal regulations</t>
  </si>
  <si>
    <t>Firms providing health insurance to their employees may pay a wage $1.00 less than the specified minimum wage.</t>
  </si>
  <si>
    <t>$5.15 for employers not covered by the Fair Labor Standards Act</t>
  </si>
  <si>
    <t>Note</t>
  </si>
  <si>
    <t>This calculator is for SY21-22 Fee Policy Tab C, part 10, item 7</t>
  </si>
  <si>
    <t>Self-employment income</t>
  </si>
  <si>
    <t>Weekly</t>
  </si>
  <si>
    <t>Semi-monthly</t>
  </si>
  <si>
    <t>Monthly</t>
  </si>
  <si>
    <t>Semi-annual</t>
  </si>
  <si>
    <t>Annual</t>
  </si>
  <si>
    <t>Bi-Weekly</t>
  </si>
  <si>
    <t>Minimum wage:</t>
  </si>
  <si>
    <t>Note:</t>
  </si>
  <si>
    <t>Hours worked</t>
  </si>
  <si>
    <t>#1</t>
  </si>
  <si>
    <t>#2</t>
  </si>
  <si>
    <t>#3</t>
  </si>
  <si>
    <t>Rhode Island</t>
  </si>
  <si>
    <t>Luxembourg</t>
  </si>
  <si>
    <t>Australia</t>
  </si>
  <si>
    <t>France</t>
  </si>
  <si>
    <t>New Zealand</t>
  </si>
  <si>
    <t>Germany</t>
  </si>
  <si>
    <t>Netherlands</t>
  </si>
  <si>
    <t>Belgium</t>
  </si>
  <si>
    <t>United Kingdom</t>
  </si>
  <si>
    <t>Ireland</t>
  </si>
  <si>
    <t>Canada</t>
  </si>
  <si>
    <t>Israel</t>
  </si>
  <si>
    <t>United States</t>
  </si>
  <si>
    <t>South Korea</t>
  </si>
  <si>
    <t>Spain</t>
  </si>
  <si>
    <t>Portugal</t>
  </si>
  <si>
    <t>Slovenia</t>
  </si>
  <si>
    <t>Czech Republic</t>
  </si>
  <si>
    <t>Greece</t>
  </si>
  <si>
    <t>Lithuania</t>
  </si>
  <si>
    <t>Latvia</t>
  </si>
  <si>
    <t>Slovakia</t>
  </si>
  <si>
    <t>Estonia</t>
  </si>
  <si>
    <t>Costa Rica</t>
  </si>
  <si>
    <t>Poland</t>
  </si>
  <si>
    <t>Hungary</t>
  </si>
  <si>
    <t>Colombia</t>
  </si>
  <si>
    <t>Russia</t>
  </si>
  <si>
    <t>Chile</t>
  </si>
  <si>
    <t>Brazil</t>
  </si>
  <si>
    <t>Turkey</t>
  </si>
  <si>
    <t>Mexico</t>
  </si>
  <si>
    <t>This State!</t>
  </si>
  <si>
    <t>Definition</t>
  </si>
  <si>
    <t>Authorized?</t>
  </si>
  <si>
    <t>Select which state you're in. Other states will get shown as orange, as a reminder.</t>
  </si>
  <si>
    <t>List of minimum wages as of 2021 July 15th.</t>
  </si>
  <si>
    <t>$10.08 for large employers with at least 500k in annual sales</t>
  </si>
  <si>
    <t>$8.75 for businesses with gross annual sales of $110,000 or more</t>
  </si>
  <si>
    <t>$8.80 for employers grossing $323,000 or more</t>
  </si>
  <si>
    <t>&lt;-- enter self-employment income in the most appropriate row.</t>
  </si>
  <si>
    <t>At least 30 hours a week for the income and min wage given</t>
  </si>
  <si>
    <t>100 hours a month for the income and min wage given</t>
  </si>
  <si>
    <t>At least min wage for the number of hours given</t>
  </si>
  <si>
    <t>CCoA Self-employment qualification</t>
  </si>
  <si>
    <t>To be configured by CCoA director.</t>
  </si>
  <si>
    <t>In Authorized column, select whether to allow this calculation.</t>
  </si>
  <si>
    <t>CONSA</t>
  </si>
  <si>
    <t>CONSA?</t>
  </si>
  <si>
    <t>(Add amts to spouse/partner)</t>
  </si>
  <si>
    <r>
      <rPr>
        <sz val="10"/>
        <color theme="1"/>
        <rFont val="Calibri"/>
        <family val="2"/>
        <scheme val="minor"/>
      </rPr>
      <t xml:space="preserve">6) </t>
    </r>
    <r>
      <rPr>
        <sz val="9.5"/>
        <color theme="1"/>
        <rFont val="Calibri"/>
        <family val="2"/>
        <scheme val="minor"/>
      </rPr>
      <t>Other annual earned income (see Tip Sheet)</t>
    </r>
  </si>
  <si>
    <t>Enlisted</t>
  </si>
  <si>
    <t>Officers</t>
  </si>
  <si>
    <t>BAS:</t>
  </si>
  <si>
    <t>8) Other Pay (BNA, etc.):</t>
  </si>
  <si>
    <t>$1 – $45,000</t>
  </si>
  <si>
    <t>$45,001 – $55,000</t>
  </si>
  <si>
    <t>$55,001 – $65,000</t>
  </si>
  <si>
    <t>$65,001 – $77,500</t>
  </si>
  <si>
    <t>$77,501 – $90,000</t>
  </si>
  <si>
    <t>$90,001 – $102,500</t>
  </si>
  <si>
    <t>$102,501 – $115,000</t>
  </si>
  <si>
    <t>$115,001 – $130,000</t>
  </si>
  <si>
    <t xml:space="preserve">$130,001 – $145,000 </t>
  </si>
  <si>
    <t>$145,001 – $160,000</t>
  </si>
  <si>
    <t>$160,001+</t>
  </si>
  <si>
    <r>
      <rPr>
        <b/>
        <i/>
        <u/>
        <sz val="8"/>
        <color theme="1"/>
        <rFont val="Calibri"/>
        <family val="2"/>
        <scheme val="minor"/>
      </rPr>
      <t>Full</t>
    </r>
    <r>
      <rPr>
        <sz val="8"/>
        <color theme="1"/>
        <rFont val="Calibri"/>
        <family val="2"/>
        <scheme val="minor"/>
      </rPr>
      <t xml:space="preserve"> Monthly or wkly rate</t>
    </r>
  </si>
  <si>
    <r>
      <t xml:space="preserve">9) </t>
    </r>
    <r>
      <rPr>
        <b/>
        <sz val="12"/>
        <color theme="1"/>
        <rFont val="Calibri"/>
        <family val="2"/>
        <scheme val="minor"/>
      </rPr>
      <t>Section F</t>
    </r>
    <r>
      <rPr>
        <sz val="12"/>
        <color theme="1"/>
        <rFont val="Calibri"/>
        <family val="2"/>
        <scheme val="minor"/>
      </rPr>
      <t>- Enter all children's names, date of birth, age, and care requested. For CDC-age children, select which vacation option the parents are requesting "2 Week" or "4 Week". Enter the FULL applicable Monthly or Weekly fees for each child.  Discounts will be handled later, not on this form. In addition, the patron must initial the option next to the vacation selection.</t>
    </r>
  </si>
  <si>
    <t>*BAH RC/Transit rates are adjusted by the average change in housing costs;  BAH-DIFF rates are adjusted by the
amount of the basic pay raise. BAH Partial rates are constant.</t>
  </si>
  <si>
    <t>2024 Non-Locality BAH Rates</t>
  </si>
  <si>
    <t>Effective 1 January 2024</t>
  </si>
  <si>
    <t>Pay Grade</t>
  </si>
  <si>
    <t>Partial</t>
  </si>
  <si>
    <t>BAH RC/T*</t>
  </si>
  <si>
    <t>Differential*</t>
  </si>
  <si>
    <t>Without Dependents</t>
  </si>
  <si>
    <t>With Dependents</t>
  </si>
  <si>
    <t>Military</t>
  </si>
  <si>
    <t>All Ranks</t>
  </si>
  <si>
    <t>APPLICATION FOR DEPARTMENT OF DEFENSE CHILD CARE FEES               [Jan 1, 2024 through Sep 30, 2024]</t>
  </si>
  <si>
    <t>GS-1</t>
  </si>
  <si>
    <t>GS-10</t>
  </si>
  <si>
    <t>GS-11</t>
  </si>
  <si>
    <t>GS-12</t>
  </si>
  <si>
    <t>GS-13</t>
  </si>
  <si>
    <t>GS-14</t>
  </si>
  <si>
    <t>GS-15</t>
  </si>
  <si>
    <t>GS-2</t>
  </si>
  <si>
    <t>GS-3</t>
  </si>
  <si>
    <t>GS-4</t>
  </si>
  <si>
    <t>GS-5</t>
  </si>
  <si>
    <t>GS-6</t>
  </si>
  <si>
    <t>GS-7</t>
  </si>
  <si>
    <t>GS-8</t>
  </si>
  <si>
    <t>GS-9</t>
  </si>
  <si>
    <t>NA- 1</t>
  </si>
  <si>
    <t>NA- 2</t>
  </si>
  <si>
    <t>NA- 3</t>
  </si>
  <si>
    <t>NA- 4</t>
  </si>
  <si>
    <t>NA- 5</t>
  </si>
  <si>
    <t>NA- 6</t>
  </si>
  <si>
    <t>NA- 7</t>
  </si>
  <si>
    <t>NA- 8</t>
  </si>
  <si>
    <t>NA- 9</t>
  </si>
  <si>
    <t>NA-10</t>
  </si>
  <si>
    <t>NA-11</t>
  </si>
  <si>
    <t>NF-1</t>
  </si>
  <si>
    <t>NF-2</t>
  </si>
  <si>
    <t>NF-3</t>
  </si>
  <si>
    <t>NF-4</t>
  </si>
  <si>
    <t>NF-5</t>
  </si>
  <si>
    <t>NF-6</t>
  </si>
  <si>
    <t>NL-1</t>
  </si>
  <si>
    <t>NL-2</t>
  </si>
  <si>
    <t>NL-3</t>
  </si>
  <si>
    <t>NL-4</t>
  </si>
  <si>
    <t>NL-5</t>
  </si>
  <si>
    <t>NS-1</t>
  </si>
  <si>
    <t>NS-10</t>
  </si>
  <si>
    <t>NS-11</t>
  </si>
  <si>
    <t>NS-12</t>
  </si>
  <si>
    <t>NS-13</t>
  </si>
  <si>
    <t>NS-14</t>
  </si>
  <si>
    <t>NS-15</t>
  </si>
  <si>
    <t>NS-16</t>
  </si>
  <si>
    <t>NS-17</t>
  </si>
  <si>
    <t>NS-18</t>
  </si>
  <si>
    <t>NS-19</t>
  </si>
  <si>
    <t>NS-2</t>
  </si>
  <si>
    <t>NS-3</t>
  </si>
  <si>
    <t>NS-4</t>
  </si>
  <si>
    <t>NS-5</t>
  </si>
  <si>
    <t>NS-6</t>
  </si>
  <si>
    <t>NS-7</t>
  </si>
  <si>
    <t>NS-8</t>
  </si>
  <si>
    <t>NS-9</t>
  </si>
  <si>
    <t>SES</t>
  </si>
  <si>
    <t>WG-1</t>
  </si>
  <si>
    <t>WG-10</t>
  </si>
  <si>
    <t>WG-11</t>
  </si>
  <si>
    <t>WG-12</t>
  </si>
  <si>
    <t>WG-13</t>
  </si>
  <si>
    <t>WG-14</t>
  </si>
  <si>
    <t>WG-15</t>
  </si>
  <si>
    <t>WG-2</t>
  </si>
  <si>
    <t>WG-3</t>
  </si>
  <si>
    <t>WG-4</t>
  </si>
  <si>
    <t>WG-5</t>
  </si>
  <si>
    <t>WG-6</t>
  </si>
  <si>
    <t>WG-7</t>
  </si>
  <si>
    <t>WG-8</t>
  </si>
  <si>
    <t>WG-9</t>
  </si>
  <si>
    <t>WL-1</t>
  </si>
  <si>
    <t>WL-10</t>
  </si>
  <si>
    <t>WL-11</t>
  </si>
  <si>
    <t>WL-12</t>
  </si>
  <si>
    <t>WL-13</t>
  </si>
  <si>
    <t>WL-14</t>
  </si>
  <si>
    <t>WL-15</t>
  </si>
  <si>
    <t>WL-2</t>
  </si>
  <si>
    <t>WL-3</t>
  </si>
  <si>
    <t>WL-4</t>
  </si>
  <si>
    <t>WL-5</t>
  </si>
  <si>
    <t>WL-6</t>
  </si>
  <si>
    <t>WL-7</t>
  </si>
  <si>
    <t>WL-8</t>
  </si>
  <si>
    <t>WL-9</t>
  </si>
  <si>
    <t>WS-1</t>
  </si>
  <si>
    <t>WS-10</t>
  </si>
  <si>
    <t>WS-11</t>
  </si>
  <si>
    <t>WS-12</t>
  </si>
  <si>
    <t>WS-13</t>
  </si>
  <si>
    <t>WS-14</t>
  </si>
  <si>
    <t>WS-15</t>
  </si>
  <si>
    <t>WS-16</t>
  </si>
  <si>
    <t>WS-17</t>
  </si>
  <si>
    <t>WS-18</t>
  </si>
  <si>
    <t>WS-19</t>
  </si>
  <si>
    <t>WS-2</t>
  </si>
  <si>
    <t>WS-3</t>
  </si>
  <si>
    <t>WS-4</t>
  </si>
  <si>
    <t>WS-5</t>
  </si>
  <si>
    <t>WS-6</t>
  </si>
  <si>
    <t>WS-7</t>
  </si>
  <si>
    <t>WS-8</t>
  </si>
  <si>
    <t>WS-9</t>
  </si>
  <si>
    <t>Sort</t>
  </si>
  <si>
    <t>2) BAH OVERRIDE</t>
  </si>
  <si>
    <r>
      <t xml:space="preserve">1) This form will calculate a family's total family income (TFI) if all applicable green cells are completed.
Do not enter dollar signs or commas. You CAN use formulas to combine multiple amounts, such as </t>
    </r>
    <r>
      <rPr>
        <b/>
        <sz val="12"/>
        <color theme="1"/>
        <rFont val="Calibri"/>
        <family val="2"/>
        <scheme val="minor"/>
      </rPr>
      <t>=1700 + 25 * 12</t>
    </r>
    <r>
      <rPr>
        <sz val="12"/>
        <color theme="1"/>
        <rFont val="Calibri"/>
        <family val="2"/>
        <scheme val="minor"/>
      </rPr>
      <t xml:space="preserve">, and it will calculate </t>
    </r>
    <r>
      <rPr>
        <b/>
        <sz val="12"/>
        <color theme="1"/>
        <rFont val="Calibri"/>
        <family val="2"/>
        <scheme val="minor"/>
      </rPr>
      <t>2000</t>
    </r>
    <r>
      <rPr>
        <sz val="12"/>
        <color theme="1"/>
        <rFont val="Calibri"/>
        <family val="2"/>
        <scheme val="minor"/>
      </rPr>
      <t xml:space="preserve"> for you.</t>
    </r>
  </si>
  <si>
    <r>
      <t>4)</t>
    </r>
    <r>
      <rPr>
        <b/>
        <sz val="12"/>
        <color theme="1"/>
        <rFont val="Calibri"/>
        <family val="2"/>
        <scheme val="minor"/>
      </rPr>
      <t xml:space="preserve"> Section A is</t>
    </r>
    <r>
      <rPr>
        <sz val="12"/>
        <color theme="1"/>
        <rFont val="Calibri"/>
        <family val="2"/>
        <scheme val="minor"/>
      </rPr>
      <t xml:space="preserve"> to annotate military family members' pay and will be used for single active duty, dual active duty, and active duty/other combination families.  All income in Section A will be entered in green cells as monthly amounts. Enter only military income in section A.  Other income (i.e. part-time jobs) received by military members will be added to section B. BAH and BAS are filled in automatically, based on the rank. In general, if the BAH and BAS filled in do not match the LES, that indicates a temporary prorate due to something like moving out of barracks. If you </t>
    </r>
    <r>
      <rPr>
        <b/>
        <sz val="12"/>
        <color rgb="FFFF0000"/>
        <rFont val="Calibri"/>
        <family val="2"/>
        <scheme val="minor"/>
      </rPr>
      <t>REALLY</t>
    </r>
    <r>
      <rPr>
        <sz val="12"/>
        <color theme="1"/>
        <rFont val="Calibri"/>
        <family val="2"/>
        <scheme val="minor"/>
      </rPr>
      <t xml:space="preserve"> need to change the BAH or BAS, update item B.5 with:
= - (OldBAH * 12 + NewBAH * 12) [note the minus sign]
or
= - (OldBAS * 12 + NewBAS * 12) [note the minus sign]
where OldBAH is the BAH amount in A2 or OldBAS is the BAS amount in A3, and NewBAH or NewBAS is the amount from the LES.
</t>
    </r>
  </si>
  <si>
    <r>
      <t xml:space="preserve">DoD Civilian rank </t>
    </r>
    <r>
      <rPr>
        <b/>
        <i/>
        <u/>
        <sz val="10"/>
        <color theme="1"/>
        <rFont val="Calibri"/>
        <family val="2"/>
        <scheme val="minor"/>
      </rPr>
      <t>ONLY if receiving BAH</t>
    </r>
  </si>
  <si>
    <t>No Civilian BAH</t>
  </si>
  <si>
    <t>Eligible for BAS</t>
  </si>
  <si>
    <t>Eligible for BAH</t>
  </si>
  <si>
    <t>_BAH</t>
  </si>
  <si>
    <t>_BAS</t>
  </si>
  <si>
    <t>Y</t>
  </si>
  <si>
    <t>N</t>
  </si>
  <si>
    <t>C</t>
  </si>
  <si>
    <t>Show BAS</t>
  </si>
  <si>
    <t>Is DoD Civilian?</t>
  </si>
  <si>
    <t>Where to find on form</t>
  </si>
  <si>
    <t>Is Amount?</t>
  </si>
  <si>
    <t>BAS lookup</t>
  </si>
  <si>
    <t xml:space="preserve"> BAH lookup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</si>
</sst>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quot;$&quot;#,##0.00;[Red]&quot;$&quot;#,##0.00"/>
    <numFmt numFmtId="165" formatCode="[$-409]mmm\ d\,\ yyyy;&quot;(error)&quot;;&quot;(error)&quot;"/>
    <numFmt numFmtId="166" formatCode="[$-409]mmm\ d\,\ yyyy;&quot;(error)&quot;;@"/>
    <numFmt numFmtId="167" formatCode="[$-409]yyyy\ mmm\ d;&quot;n/a&quot;;&quot;&quot;;&quot;(error)&quot;"/>
    <numFmt numFmtId="168" formatCode="#0;&quot;Unborn&quot;;&quot;-&quot;;@"/>
    <numFmt numFmtId="169" formatCode="&quot;$&quot;\ #,##0.00;\(#,##0.00\);&quot;-&quot;;@"/>
    <numFmt numFmtId="170" formatCode="[$-409]d\-mmm\-yyyy;@"/>
    <numFmt numFmtId="171" formatCode="yyyy/mm/dd"/>
    <numFmt numFmtId="172" formatCode="d\ mmm\ yyyy"/>
    <numFmt numFmtId="173" formatCode=";;;"/>
    <numFmt numFmtId="174" formatCode="General;&quot;Err&quot;\,&quot;?&quot;;&quot;?&quot;"/>
    <numFmt numFmtId="175" formatCode="&quot;$&quot;\ #,##0;\(#,##0\);&quot;-&quot;;@"/>
    <numFmt numFmtId="176" formatCode="0.0000000"/>
    <numFmt numFmtId="177" formatCode="_(* #,##0.00\ &quot;hrs&quot;_);_(* \(#,##0.00\);_(* &quot;-&quot;??_);_(@_)"/>
    <numFmt numFmtId="178" formatCode="\$\ 0.00"/>
    <numFmt numFmtId="179" formatCode="\$\ #,##0.00"/>
    <numFmt numFmtId="180" formatCode="#\ &quot;days added to pay stub suspense date&quot;;&quot;&quot;;&quot;&quot;;&quot;&quot;"/>
    <numFmt numFmtId="181" formatCode="General;General;"/>
    <numFmt numFmtId="182" formatCode="_(&quot;$&quot;* #,##0.00_);[Red]_(&quot;$&quot;* \(#,##0.00\);_(&quot;$&quot;* &quot;-&quot;??_);_(@_)"/>
    <numFmt numFmtId="183" formatCode="&quot;$&quot;* #,##0.00_);\(#,##0.00\);&quot;-&quot;@"/>
  </numFmts>
  <fonts count="56" x14ac:knownFonts="1">
    <font>
      <sz val="11"/>
      <color theme="1"/>
      <name val="Calibri"/>
      <family val="2"/>
      <scheme val="minor"/>
    </font>
    <font>
      <sz val="9"/>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sz val="6"/>
      <color theme="1"/>
      <name val="Calibri"/>
      <family val="2"/>
      <scheme val="minor"/>
    </font>
    <font>
      <b/>
      <sz val="11"/>
      <color rgb="FFFF0000"/>
      <name val="Calibri"/>
      <family val="2"/>
      <scheme val="minor"/>
    </font>
    <font>
      <b/>
      <sz val="14"/>
      <color theme="1"/>
      <name val="Calibri"/>
      <family val="2"/>
      <scheme val="minor"/>
    </font>
    <font>
      <sz val="10"/>
      <color theme="1"/>
      <name val="Calibri"/>
      <family val="2"/>
      <scheme val="minor"/>
    </font>
    <font>
      <sz val="14"/>
      <color theme="1"/>
      <name val="Calibri"/>
      <family val="2"/>
      <scheme val="minor"/>
    </font>
    <font>
      <b/>
      <sz val="14"/>
      <color rgb="FFFF0000"/>
      <name val="Calibri"/>
      <family val="2"/>
      <scheme val="minor"/>
    </font>
    <font>
      <b/>
      <sz val="11"/>
      <color rgb="FF0070C0"/>
      <name val="Calibri"/>
      <family val="2"/>
      <scheme val="minor"/>
    </font>
    <font>
      <sz val="10"/>
      <color rgb="FF000000"/>
      <name val="Times New Roman"/>
      <family val="1"/>
    </font>
    <font>
      <b/>
      <sz val="10"/>
      <color rgb="FF0070C0"/>
      <name val="Calibri"/>
      <family val="2"/>
      <scheme val="minor"/>
    </font>
    <font>
      <sz val="9"/>
      <color indexed="81"/>
      <name val="Tahoma"/>
      <family val="2"/>
    </font>
    <font>
      <sz val="10"/>
      <color rgb="FF000000"/>
      <name val="Times New Roman"/>
      <family val="1"/>
    </font>
    <font>
      <sz val="11"/>
      <name val="Calibri"/>
      <family val="2"/>
      <scheme val="minor"/>
    </font>
    <font>
      <sz val="11"/>
      <name val="Calibri"/>
      <family val="2"/>
      <scheme val="minor"/>
    </font>
    <font>
      <b/>
      <sz val="10"/>
      <color theme="1"/>
      <name val="Calibri"/>
      <family val="2"/>
      <scheme val="minor"/>
    </font>
    <font>
      <b/>
      <sz val="10"/>
      <color rgb="FFFF0000"/>
      <name val="Calibri"/>
      <family val="2"/>
      <scheme val="minor"/>
    </font>
    <font>
      <b/>
      <sz val="10"/>
      <name val="Calibri"/>
      <family val="2"/>
      <scheme val="minor"/>
    </font>
    <font>
      <sz val="10"/>
      <name val="Calibri"/>
      <family val="2"/>
      <scheme val="minor"/>
    </font>
    <font>
      <sz val="10"/>
      <color rgb="FFFF0000"/>
      <name val="Calibri"/>
      <family val="2"/>
      <scheme val="minor"/>
    </font>
    <font>
      <sz val="8.5"/>
      <color theme="1"/>
      <name val="Calibri"/>
      <family val="2"/>
      <scheme val="minor"/>
    </font>
    <font>
      <b/>
      <sz val="9"/>
      <color theme="1"/>
      <name val="Calibri"/>
      <family val="2"/>
      <scheme val="minor"/>
    </font>
    <font>
      <b/>
      <sz val="9"/>
      <color indexed="81"/>
      <name val="Tahoma"/>
      <family val="2"/>
    </font>
    <font>
      <b/>
      <sz val="13"/>
      <color theme="1"/>
      <name val="Calibri"/>
      <family val="2"/>
      <scheme val="minor"/>
    </font>
    <font>
      <u/>
      <sz val="10"/>
      <color theme="1"/>
      <name val="Calibri"/>
      <family val="2"/>
      <scheme val="minor"/>
    </font>
    <font>
      <b/>
      <u/>
      <sz val="11"/>
      <name val="Calibri"/>
      <family val="2"/>
      <scheme val="minor"/>
    </font>
    <font>
      <sz val="12"/>
      <color theme="0"/>
      <name val="Calibri"/>
      <family val="2"/>
      <scheme val="minor"/>
    </font>
    <font>
      <sz val="7"/>
      <color theme="1"/>
      <name val="Calibri"/>
      <family val="2"/>
      <scheme val="minor"/>
    </font>
    <font>
      <b/>
      <sz val="12"/>
      <color rgb="FFFF0000"/>
      <name val="Calibri"/>
      <family val="2"/>
      <scheme val="minor"/>
    </font>
    <font>
      <sz val="10"/>
      <color rgb="FF000000"/>
      <name val="Times New Roman"/>
      <family val="1"/>
    </font>
    <font>
      <b/>
      <sz val="9"/>
      <name val="Arial"/>
      <family val="2"/>
    </font>
    <font>
      <sz val="10"/>
      <color rgb="FF000000"/>
      <name val="Arial"/>
      <family val="2"/>
    </font>
    <font>
      <sz val="7.5"/>
      <color theme="1"/>
      <name val="Calibri"/>
      <family val="2"/>
      <scheme val="minor"/>
    </font>
    <font>
      <sz val="11"/>
      <color theme="1"/>
      <name val="Calibri"/>
      <family val="2"/>
      <scheme val="minor"/>
    </font>
    <font>
      <sz val="9.5"/>
      <color theme="1"/>
      <name val="Calibri"/>
      <family val="2"/>
      <scheme val="minor"/>
    </font>
    <font>
      <sz val="10"/>
      <color rgb="FF000000"/>
      <name val="Times New Roman"/>
      <family val="1"/>
    </font>
    <font>
      <b/>
      <sz val="9"/>
      <name val="Arial"/>
      <family val="2"/>
    </font>
    <font>
      <b/>
      <sz val="10"/>
      <name val="Arial"/>
      <family val="2"/>
    </font>
    <font>
      <b/>
      <sz val="11"/>
      <name val="Arial"/>
      <family val="2"/>
    </font>
    <font>
      <b/>
      <i/>
      <sz val="14"/>
      <name val="Arial"/>
      <family val="2"/>
    </font>
    <font>
      <b/>
      <sz val="16"/>
      <name val="Arial"/>
      <family val="2"/>
    </font>
    <font>
      <sz val="10.5"/>
      <color theme="1"/>
      <name val="Arial"/>
      <family val="2"/>
    </font>
    <font>
      <sz val="10"/>
      <color theme="0"/>
      <name val="Calibri"/>
      <family val="2"/>
      <scheme val="minor"/>
    </font>
    <font>
      <sz val="11"/>
      <color theme="1"/>
      <name val="Times New Roman"/>
      <family val="1"/>
    </font>
    <font>
      <b/>
      <i/>
      <u/>
      <sz val="8"/>
      <color theme="1"/>
      <name val="Calibri"/>
      <family val="2"/>
      <scheme val="minor"/>
    </font>
    <font>
      <sz val="10"/>
      <color rgb="FF000000"/>
      <name val="Times New Roman"/>
      <family val="1"/>
    </font>
    <font>
      <b/>
      <sz val="11"/>
      <color theme="0"/>
      <name val="Calibri"/>
      <family val="2"/>
      <scheme val="minor"/>
    </font>
    <font>
      <b/>
      <sz val="11"/>
      <color theme="1"/>
      <name val="Calibri"/>
      <family val="2"/>
      <scheme val="minor"/>
    </font>
    <font>
      <sz val="11"/>
      <color theme="1"/>
      <name val="Calibri"/>
      <family val="2"/>
      <scheme val="minor"/>
    </font>
    <font>
      <b/>
      <i/>
      <u/>
      <sz val="10"/>
      <color theme="1"/>
      <name val="Calibri"/>
      <family val="2"/>
      <scheme val="minor"/>
    </font>
  </fonts>
  <fills count="23">
    <fill>
      <patternFill patternType="none"/>
    </fill>
    <fill>
      <patternFill patternType="gray125"/>
    </fill>
    <fill>
      <patternFill patternType="solid">
        <fgColor theme="2"/>
        <bgColor indexed="64"/>
      </patternFill>
    </fill>
    <fill>
      <patternFill patternType="solid">
        <fgColor rgb="FFCAE8A8"/>
        <bgColor indexed="64"/>
      </patternFill>
    </fill>
    <fill>
      <patternFill patternType="solid">
        <fgColor rgb="FFFFFF81"/>
        <bgColor indexed="64"/>
      </patternFill>
    </fill>
    <fill>
      <patternFill patternType="solid">
        <fgColor theme="5" tint="0.59999389629810485"/>
        <bgColor indexed="64"/>
      </patternFill>
    </fill>
    <fill>
      <patternFill patternType="solid">
        <fgColor rgb="FF92D050"/>
        <bgColor indexed="64"/>
      </patternFill>
    </fill>
    <fill>
      <gradientFill>
        <stop position="0">
          <color rgb="FFFFFF81"/>
        </stop>
        <stop position="1">
          <color rgb="FFF8CBAD"/>
        </stop>
      </gradientFill>
    </fill>
    <fill>
      <patternFill patternType="solid">
        <fgColor rgb="FF00B0F0"/>
        <bgColor indexed="64"/>
      </patternFill>
    </fill>
    <fill>
      <patternFill patternType="solid">
        <fgColor theme="5" tint="-0.49998474074526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4" tint="0.79998168889431442"/>
        <bgColor theme="4" tint="0.79998168889431442"/>
      </patternFill>
    </fill>
    <fill>
      <gradientFill>
        <stop position="0">
          <color theme="0"/>
        </stop>
        <stop position="1">
          <color rgb="FFCAE8A8"/>
        </stop>
      </gradientFill>
    </fill>
    <fill>
      <patternFill patternType="solid">
        <fgColor theme="0" tint="-0.499984740745262"/>
        <bgColor indexed="64"/>
      </patternFill>
    </fill>
    <fill>
      <patternFill patternType="solid">
        <fgColor rgb="FFFFFFCC"/>
      </patternFill>
    </fill>
    <fill>
      <patternFill patternType="solid">
        <fgColor rgb="FF800000"/>
      </patternFill>
    </fill>
    <fill>
      <patternFill patternType="solid">
        <fgColor theme="8" tint="0.59996337778862885"/>
        <bgColor indexed="64"/>
      </patternFill>
    </fill>
    <fill>
      <patternFill patternType="solid">
        <fgColor rgb="FFC0C0C0"/>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theme="6" tint="0.39997558519241921"/>
      </top>
      <bottom style="thin">
        <color theme="6" tint="0.39997558519241921"/>
      </bottom>
      <diagonal/>
    </border>
    <border>
      <left/>
      <right/>
      <top/>
      <bottom style="thin">
        <color theme="6" tint="0.39997558519241921"/>
      </bottom>
      <diagonal/>
    </border>
  </borders>
  <cellStyleXfs count="9">
    <xf numFmtId="0" fontId="0" fillId="0" borderId="0"/>
    <xf numFmtId="44" fontId="2" fillId="0" borderId="0" applyFont="0" applyFill="0" applyBorder="0" applyAlignment="0" applyProtection="0"/>
    <xf numFmtId="165" fontId="2" fillId="0" borderId="0"/>
    <xf numFmtId="43" fontId="2" fillId="0" borderId="0" applyFont="0" applyFill="0" applyBorder="0" applyAlignment="0" applyProtection="0"/>
    <xf numFmtId="0" fontId="15" fillId="0" borderId="0"/>
    <xf numFmtId="0" fontId="18" fillId="0" borderId="0"/>
    <xf numFmtId="0" fontId="35" fillId="0" borderId="0"/>
    <xf numFmtId="0" fontId="41" fillId="0" borderId="0"/>
    <xf numFmtId="0" fontId="51" fillId="0" borderId="0"/>
  </cellStyleXfs>
  <cellXfs count="330">
    <xf numFmtId="0" fontId="0" fillId="0" borderId="0" xfId="0"/>
    <xf numFmtId="164" fontId="0" fillId="0" borderId="0" xfId="0" applyNumberFormat="1"/>
    <xf numFmtId="49" fontId="0" fillId="0" borderId="0" xfId="0" applyNumberFormat="1"/>
    <xf numFmtId="0" fontId="4" fillId="0" borderId="0" xfId="0" applyFont="1"/>
    <xf numFmtId="0" fontId="0" fillId="0" borderId="0" xfId="0" applyFont="1" applyProtection="1"/>
    <xf numFmtId="0" fontId="5" fillId="0" borderId="0" xfId="0" applyFont="1" applyProtection="1"/>
    <xf numFmtId="0" fontId="1" fillId="0" borderId="0" xfId="0" applyFont="1" applyProtection="1"/>
    <xf numFmtId="165" fontId="6" fillId="0" borderId="0" xfId="2" applyFont="1" applyAlignment="1" applyProtection="1"/>
    <xf numFmtId="165" fontId="7" fillId="0" borderId="0" xfId="2" applyNumberFormat="1" applyFont="1" applyAlignment="1" applyProtection="1"/>
    <xf numFmtId="165" fontId="6" fillId="0" borderId="0" xfId="2" applyFont="1" applyFill="1" applyAlignment="1" applyProtection="1"/>
    <xf numFmtId="0" fontId="9" fillId="0" borderId="0" xfId="0" applyFont="1" applyProtection="1"/>
    <xf numFmtId="165" fontId="7" fillId="0" borderId="0" xfId="2" applyFont="1" applyAlignment="1" applyProtection="1"/>
    <xf numFmtId="0" fontId="13" fillId="0" borderId="0" xfId="0" applyFont="1" applyProtection="1"/>
    <xf numFmtId="165" fontId="13" fillId="0" borderId="0" xfId="2" applyFont="1" applyAlignment="1" applyProtection="1"/>
    <xf numFmtId="0" fontId="12" fillId="0" borderId="0" xfId="0" applyFont="1" applyProtection="1"/>
    <xf numFmtId="0" fontId="1" fillId="0" borderId="0" xfId="0" applyFont="1" applyFill="1" applyProtection="1"/>
    <xf numFmtId="0" fontId="9" fillId="0" borderId="0" xfId="0" applyNumberFormat="1" applyFont="1" applyProtection="1"/>
    <xf numFmtId="0" fontId="0" fillId="0" borderId="0" xfId="0" applyNumberFormat="1"/>
    <xf numFmtId="169" fontId="13" fillId="0" borderId="0" xfId="0" applyNumberFormat="1" applyFont="1" applyAlignment="1" applyProtection="1"/>
    <xf numFmtId="0" fontId="0" fillId="6" borderId="0" xfId="0" applyFill="1"/>
    <xf numFmtId="0" fontId="0" fillId="0" borderId="0" xfId="0" applyProtection="1">
      <protection locked="0"/>
    </xf>
    <xf numFmtId="0" fontId="0" fillId="0" borderId="0" xfId="0" applyFill="1"/>
    <xf numFmtId="0" fontId="4" fillId="0" borderId="4"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14" fontId="0" fillId="0" borderId="0" xfId="3" applyNumberFormat="1" applyFont="1" applyFill="1"/>
    <xf numFmtId="14" fontId="0" fillId="0" borderId="0" xfId="0" applyNumberFormat="1" applyFill="1"/>
    <xf numFmtId="0" fontId="0" fillId="6" borderId="0" xfId="0" applyFont="1" applyFill="1"/>
    <xf numFmtId="0" fontId="0" fillId="0" borderId="0" xfId="0" applyAlignment="1">
      <alignment horizontal="left"/>
    </xf>
    <xf numFmtId="164" fontId="19" fillId="0" borderId="0" xfId="0" applyNumberFormat="1" applyFont="1" applyAlignment="1">
      <alignment horizontal="left" vertical="top" wrapText="1"/>
    </xf>
    <xf numFmtId="0" fontId="19" fillId="0" borderId="0" xfId="0" applyFont="1" applyAlignment="1">
      <alignment horizontal="left" vertical="top"/>
    </xf>
    <xf numFmtId="44" fontId="19" fillId="0" borderId="0" xfId="1" applyFont="1" applyAlignment="1">
      <alignment horizontal="left" vertical="top"/>
    </xf>
    <xf numFmtId="164" fontId="19" fillId="0" borderId="0" xfId="0" applyNumberFormat="1" applyFont="1" applyAlignment="1">
      <alignment horizontal="left" vertical="top"/>
    </xf>
    <xf numFmtId="43" fontId="0" fillId="0" borderId="0" xfId="0" applyNumberFormat="1" applyFill="1"/>
    <xf numFmtId="0" fontId="4" fillId="0" borderId="5" xfId="0" applyFont="1" applyBorder="1"/>
    <xf numFmtId="0" fontId="4" fillId="0" borderId="5" xfId="0" applyFont="1" applyBorder="1" applyAlignment="1">
      <alignment vertical="top" wrapText="1"/>
    </xf>
    <xf numFmtId="0" fontId="20" fillId="0" borderId="0" xfId="0" applyFont="1" applyAlignment="1">
      <alignment horizontal="left" vertical="top"/>
    </xf>
    <xf numFmtId="0" fontId="11" fillId="0" borderId="0" xfId="0" applyFont="1" applyProtection="1"/>
    <xf numFmtId="44" fontId="11" fillId="0" borderId="0" xfId="0" applyNumberFormat="1" applyFont="1" applyProtection="1"/>
    <xf numFmtId="0" fontId="11" fillId="0" borderId="0" xfId="0" quotePrefix="1" applyFont="1" applyProtection="1"/>
    <xf numFmtId="0" fontId="19" fillId="8" borderId="0" xfId="0" applyFont="1" applyFill="1" applyAlignment="1">
      <alignment horizontal="left" vertical="top"/>
    </xf>
    <xf numFmtId="14" fontId="0" fillId="9" borderId="0" xfId="0" applyNumberFormat="1" applyFill="1"/>
    <xf numFmtId="0" fontId="0" fillId="9" borderId="0" xfId="0" applyFill="1"/>
    <xf numFmtId="0" fontId="25" fillId="0" borderId="0" xfId="0" applyFont="1" applyProtection="1"/>
    <xf numFmtId="0" fontId="4" fillId="0" borderId="5" xfId="0" applyFont="1" applyBorder="1" applyAlignment="1">
      <alignment vertical="center" wrapText="1"/>
    </xf>
    <xf numFmtId="0" fontId="4" fillId="0" borderId="5" xfId="0" applyFont="1" applyBorder="1" applyAlignment="1">
      <alignment wrapText="1"/>
    </xf>
    <xf numFmtId="174" fontId="11" fillId="0" borderId="0" xfId="0" applyNumberFormat="1" applyFont="1" applyProtection="1"/>
    <xf numFmtId="0" fontId="0" fillId="11" borderId="0" xfId="0" applyFill="1"/>
    <xf numFmtId="167" fontId="13" fillId="0" borderId="0" xfId="2" applyNumberFormat="1" applyFont="1" applyAlignment="1" applyProtection="1"/>
    <xf numFmtId="175" fontId="13" fillId="0" borderId="0" xfId="0" applyNumberFormat="1" applyFont="1" applyAlignment="1" applyProtection="1"/>
    <xf numFmtId="0" fontId="13" fillId="0" borderId="0" xfId="0" applyFont="1" applyAlignment="1" applyProtection="1"/>
    <xf numFmtId="169" fontId="13" fillId="0" borderId="0" xfId="0" applyNumberFormat="1" applyFont="1" applyAlignment="1" applyProtection="1">
      <alignment vertical="center"/>
    </xf>
    <xf numFmtId="0" fontId="9" fillId="0" borderId="0" xfId="0" applyFont="1" applyAlignment="1" applyProtection="1"/>
    <xf numFmtId="0" fontId="19" fillId="0" borderId="0" xfId="0" applyFont="1"/>
    <xf numFmtId="0" fontId="0" fillId="12" borderId="0" xfId="0" applyNumberFormat="1" applyFill="1"/>
    <xf numFmtId="0" fontId="0" fillId="6" borderId="0" xfId="0" applyNumberFormat="1" applyFill="1"/>
    <xf numFmtId="0" fontId="0" fillId="0" borderId="0" xfId="0" quotePrefix="1"/>
    <xf numFmtId="0" fontId="0" fillId="0" borderId="26" xfId="0" applyFont="1" applyFill="1" applyBorder="1" applyAlignment="1">
      <alignment horizontal="left"/>
    </xf>
    <xf numFmtId="0" fontId="0" fillId="0" borderId="27" xfId="0" applyFont="1" applyFill="1" applyBorder="1" applyAlignment="1">
      <alignment horizontal="left"/>
    </xf>
    <xf numFmtId="0" fontId="0" fillId="12" borderId="0" xfId="0" applyFill="1" applyProtection="1">
      <protection locked="0"/>
    </xf>
    <xf numFmtId="0" fontId="30" fillId="0" borderId="0" xfId="0" applyFont="1" applyProtection="1"/>
    <xf numFmtId="49" fontId="0" fillId="0" borderId="0" xfId="0" applyNumberFormat="1" applyFill="1"/>
    <xf numFmtId="43" fontId="0" fillId="0" borderId="0" xfId="1" applyNumberFormat="1" applyFont="1" applyFill="1"/>
    <xf numFmtId="0" fontId="0" fillId="0" borderId="0" xfId="0" applyNumberFormat="1" applyFill="1"/>
    <xf numFmtId="0" fontId="19" fillId="12" borderId="0" xfId="0" applyFont="1" applyFill="1"/>
    <xf numFmtId="0" fontId="0" fillId="0" borderId="28" xfId="0" applyFont="1" applyFill="1" applyBorder="1" applyAlignment="1">
      <alignment horizontal="left"/>
    </xf>
    <xf numFmtId="0" fontId="11" fillId="3" borderId="5" xfId="0" applyFont="1" applyFill="1" applyBorder="1" applyAlignment="1" applyProtection="1">
      <alignment vertical="top"/>
      <protection locked="0"/>
    </xf>
    <xf numFmtId="0" fontId="11" fillId="3" borderId="5" xfId="0" applyFont="1" applyFill="1" applyBorder="1" applyAlignment="1" applyProtection="1">
      <protection locked="0"/>
    </xf>
    <xf numFmtId="0" fontId="0" fillId="0" borderId="0" xfId="0" applyAlignment="1">
      <alignment wrapText="1"/>
    </xf>
    <xf numFmtId="0" fontId="0" fillId="0" borderId="5" xfId="0" applyBorder="1"/>
    <xf numFmtId="0" fontId="0" fillId="0" borderId="29" xfId="0" applyFill="1" applyBorder="1"/>
    <xf numFmtId="0" fontId="0" fillId="0" borderId="16" xfId="0" applyFill="1" applyBorder="1"/>
    <xf numFmtId="0" fontId="0" fillId="14" borderId="0" xfId="0" applyFill="1"/>
    <xf numFmtId="0" fontId="0" fillId="0" borderId="0" xfId="0" applyAlignment="1">
      <alignment vertical="top" wrapText="1"/>
    </xf>
    <xf numFmtId="0" fontId="0" fillId="13" borderId="0" xfId="0" applyNumberFormat="1" applyFill="1"/>
    <xf numFmtId="0" fontId="0" fillId="4" borderId="0" xfId="0" applyFill="1"/>
    <xf numFmtId="0" fontId="0" fillId="15" borderId="30" xfId="0" applyFont="1" applyFill="1" applyBorder="1"/>
    <xf numFmtId="0" fontId="0" fillId="0" borderId="0" xfId="0" applyFill="1" applyAlignment="1">
      <alignment vertical="top" wrapText="1"/>
    </xf>
    <xf numFmtId="0" fontId="0" fillId="0" borderId="0" xfId="0" applyFill="1" applyBorder="1" applyAlignment="1">
      <alignment vertical="top"/>
    </xf>
    <xf numFmtId="0" fontId="11" fillId="0" borderId="0" xfId="0" applyFont="1" applyAlignment="1" applyProtection="1">
      <alignment horizontal="right"/>
    </xf>
    <xf numFmtId="0" fontId="31" fillId="0" borderId="0" xfId="0" applyFont="1" applyBorder="1" applyAlignment="1" applyProtection="1">
      <alignment vertical="center" wrapText="1"/>
    </xf>
    <xf numFmtId="0" fontId="33" fillId="0" borderId="0" xfId="0" applyFont="1" applyAlignment="1" applyProtection="1">
      <alignment horizontal="center" vertical="center" wrapText="1"/>
    </xf>
    <xf numFmtId="0" fontId="33" fillId="0" borderId="0" xfId="0" applyFont="1" applyBorder="1" applyAlignment="1" applyProtection="1">
      <alignment horizontal="center" vertical="center" wrapText="1"/>
    </xf>
    <xf numFmtId="0" fontId="11" fillId="0" borderId="0" xfId="0" applyNumberFormat="1" applyFont="1" applyProtection="1"/>
    <xf numFmtId="2" fontId="0" fillId="0" borderId="0" xfId="0" applyNumberFormat="1"/>
    <xf numFmtId="44" fontId="0" fillId="0" borderId="0" xfId="0" applyNumberFormat="1"/>
    <xf numFmtId="43" fontId="0" fillId="0" borderId="0" xfId="0" applyNumberFormat="1"/>
    <xf numFmtId="8" fontId="0" fillId="0" borderId="0" xfId="0" applyNumberFormat="1"/>
    <xf numFmtId="3" fontId="0" fillId="0" borderId="0" xfId="0" applyNumberFormat="1"/>
    <xf numFmtId="6" fontId="0" fillId="0" borderId="0" xfId="0" applyNumberFormat="1"/>
    <xf numFmtId="44" fontId="0" fillId="6" borderId="0" xfId="0" applyNumberFormat="1" applyFill="1" applyProtection="1">
      <protection locked="0"/>
    </xf>
    <xf numFmtId="0" fontId="0" fillId="6" borderId="0" xfId="0" applyFill="1" applyProtection="1">
      <protection locked="0"/>
    </xf>
    <xf numFmtId="43" fontId="0" fillId="6" borderId="0" xfId="1" applyNumberFormat="1" applyFont="1" applyFill="1" applyProtection="1">
      <protection locked="0"/>
    </xf>
    <xf numFmtId="44" fontId="0" fillId="0" borderId="0" xfId="1" applyFont="1"/>
    <xf numFmtId="177" fontId="0" fillId="0" borderId="0" xfId="0" applyNumberFormat="1"/>
    <xf numFmtId="0" fontId="0" fillId="17" borderId="0" xfId="0" applyFill="1"/>
    <xf numFmtId="44" fontId="0" fillId="17" borderId="0" xfId="0" applyNumberFormat="1" applyFill="1"/>
    <xf numFmtId="176" fontId="0" fillId="17" borderId="0" xfId="0" applyNumberFormat="1" applyFill="1"/>
    <xf numFmtId="173" fontId="11" fillId="0" borderId="0" xfId="0" applyNumberFormat="1" applyFont="1" applyProtection="1"/>
    <xf numFmtId="181" fontId="24" fillId="0" borderId="0" xfId="0" applyNumberFormat="1" applyFont="1" applyFill="1" applyProtection="1"/>
    <xf numFmtId="0" fontId="41" fillId="0" borderId="0" xfId="7" applyAlignment="1">
      <alignment horizontal="left" vertical="top"/>
    </xf>
    <xf numFmtId="178" fontId="37" fillId="18" borderId="34" xfId="7" applyNumberFormat="1" applyFont="1" applyFill="1" applyBorder="1" applyAlignment="1">
      <alignment horizontal="right" vertical="top" shrinkToFit="1"/>
    </xf>
    <xf numFmtId="178" fontId="37" fillId="18" borderId="34" xfId="7" applyNumberFormat="1" applyFont="1" applyFill="1" applyBorder="1" applyAlignment="1">
      <alignment horizontal="center" vertical="top" shrinkToFit="1"/>
    </xf>
    <xf numFmtId="178" fontId="37" fillId="18" borderId="34" xfId="7" applyNumberFormat="1" applyFont="1" applyFill="1" applyBorder="1" applyAlignment="1">
      <alignment horizontal="left" vertical="top" shrinkToFit="1"/>
    </xf>
    <xf numFmtId="0" fontId="43" fillId="18" borderId="34" xfId="7" applyFont="1" applyFill="1" applyBorder="1" applyAlignment="1">
      <alignment horizontal="center" vertical="top" wrapText="1"/>
    </xf>
    <xf numFmtId="178" fontId="37" fillId="0" borderId="34" xfId="7" applyNumberFormat="1" applyFont="1" applyBorder="1" applyAlignment="1">
      <alignment horizontal="right" vertical="top" shrinkToFit="1"/>
    </xf>
    <xf numFmtId="178" fontId="37" fillId="0" borderId="34" xfId="7" applyNumberFormat="1" applyFont="1" applyBorder="1" applyAlignment="1">
      <alignment horizontal="center" vertical="top" shrinkToFit="1"/>
    </xf>
    <xf numFmtId="178" fontId="37" fillId="0" borderId="34" xfId="7" applyNumberFormat="1" applyFont="1" applyBorder="1" applyAlignment="1">
      <alignment horizontal="left" vertical="top" shrinkToFit="1"/>
    </xf>
    <xf numFmtId="0" fontId="43" fillId="0" borderId="34" xfId="7" applyFont="1" applyBorder="1" applyAlignment="1">
      <alignment horizontal="center" vertical="top" wrapText="1"/>
    </xf>
    <xf numFmtId="179" fontId="37" fillId="0" borderId="34" xfId="7" applyNumberFormat="1" applyFont="1" applyBorder="1" applyAlignment="1">
      <alignment horizontal="center" vertical="top" shrinkToFit="1"/>
    </xf>
    <xf numFmtId="179" fontId="37" fillId="18" borderId="34" xfId="7" applyNumberFormat="1" applyFont="1" applyFill="1" applyBorder="1" applyAlignment="1">
      <alignment horizontal="center" vertical="top" shrinkToFit="1"/>
    </xf>
    <xf numFmtId="179" fontId="37" fillId="0" borderId="34" xfId="7" applyNumberFormat="1" applyFont="1" applyBorder="1" applyAlignment="1">
      <alignment horizontal="left" vertical="top" shrinkToFit="1"/>
    </xf>
    <xf numFmtId="179" fontId="37" fillId="18" borderId="34" xfId="7" applyNumberFormat="1" applyFont="1" applyFill="1" applyBorder="1" applyAlignment="1">
      <alignment horizontal="left" vertical="top" shrinkToFit="1"/>
    </xf>
    <xf numFmtId="0" fontId="41" fillId="0" borderId="34" xfId="7" applyBorder="1" applyAlignment="1">
      <alignment horizontal="left" wrapText="1"/>
    </xf>
    <xf numFmtId="0" fontId="44" fillId="21" borderId="34" xfId="7" applyFont="1" applyFill="1" applyBorder="1" applyAlignment="1">
      <alignment horizontal="center" vertical="center" wrapText="1"/>
    </xf>
    <xf numFmtId="0" fontId="44" fillId="21" borderId="34" xfId="7" applyFont="1" applyFill="1" applyBorder="1" applyAlignment="1">
      <alignment horizontal="left" vertical="center" wrapText="1"/>
    </xf>
    <xf numFmtId="0" fontId="47" fillId="0" borderId="0" xfId="0" applyFont="1"/>
    <xf numFmtId="8" fontId="41" fillId="0" borderId="0" xfId="7" applyNumberFormat="1" applyAlignment="1">
      <alignment horizontal="left" vertical="top"/>
    </xf>
    <xf numFmtId="0" fontId="15" fillId="0" borderId="0" xfId="7" applyFont="1" applyAlignment="1">
      <alignment horizontal="left" vertical="top"/>
    </xf>
    <xf numFmtId="14" fontId="39" fillId="0" borderId="0" xfId="3" applyNumberFormat="1" applyFont="1" applyFill="1" applyBorder="1"/>
    <xf numFmtId="14" fontId="0" fillId="0" borderId="0" xfId="0" applyNumberFormat="1" applyFill="1" applyBorder="1"/>
    <xf numFmtId="4" fontId="0" fillId="0" borderId="0" xfId="0" applyNumberFormat="1" applyFill="1" applyBorder="1"/>
    <xf numFmtId="0" fontId="0" fillId="0" borderId="0" xfId="0" applyBorder="1" applyAlignment="1">
      <alignment horizontal="left"/>
    </xf>
    <xf numFmtId="0" fontId="0" fillId="0" borderId="0" xfId="0" applyNumberFormat="1" applyBorder="1"/>
    <xf numFmtId="0" fontId="0" fillId="0" borderId="0" xfId="0" applyFill="1" applyBorder="1"/>
    <xf numFmtId="14" fontId="0" fillId="0" borderId="0" xfId="3" applyNumberFormat="1" applyFont="1" applyFill="1" applyBorder="1"/>
    <xf numFmtId="0" fontId="49" fillId="0" borderId="0" xfId="0" applyFont="1" applyFill="1" applyBorder="1" applyAlignment="1">
      <alignment horizontal="center" vertical="center" wrapText="1"/>
    </xf>
    <xf numFmtId="0" fontId="0" fillId="0" borderId="0" xfId="0" applyNumberFormat="1" applyFill="1" applyBorder="1"/>
    <xf numFmtId="0" fontId="53" fillId="0" borderId="37" xfId="0" applyFont="1" applyFill="1" applyBorder="1"/>
    <xf numFmtId="0" fontId="52" fillId="0" borderId="38" xfId="0" applyFont="1" applyFill="1" applyBorder="1"/>
    <xf numFmtId="0" fontId="53" fillId="0" borderId="38" xfId="0" quotePrefix="1" applyFont="1" applyFill="1" applyBorder="1"/>
    <xf numFmtId="0" fontId="0" fillId="0" borderId="0" xfId="0" applyAlignment="1">
      <alignment horizontal="left"/>
    </xf>
    <xf numFmtId="0" fontId="53" fillId="0" borderId="37" xfId="0" quotePrefix="1" applyFont="1" applyFill="1" applyBorder="1"/>
    <xf numFmtId="14" fontId="54" fillId="0" borderId="0" xfId="3" applyNumberFormat="1" applyFont="1" applyFill="1"/>
    <xf numFmtId="4" fontId="0" fillId="0" borderId="0" xfId="0" applyNumberFormat="1" applyFill="1"/>
    <xf numFmtId="43" fontId="54" fillId="0" borderId="0" xfId="1" applyNumberFormat="1" applyFont="1" applyFill="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1" fillId="0" borderId="15"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5" fillId="0" borderId="5" xfId="0" applyFont="1" applyBorder="1" applyAlignment="1" applyProtection="1">
      <alignment horizontal="center" wrapText="1"/>
    </xf>
    <xf numFmtId="0" fontId="5" fillId="0" borderId="5" xfId="0" applyFont="1" applyBorder="1" applyAlignment="1" applyProtection="1">
      <alignment horizontal="center"/>
    </xf>
    <xf numFmtId="0" fontId="11" fillId="3" borderId="5" xfId="0" applyFont="1" applyFill="1" applyBorder="1" applyAlignment="1" applyProtection="1">
      <alignment horizontal="center"/>
      <protection locked="0"/>
    </xf>
    <xf numFmtId="0" fontId="11" fillId="3" borderId="18" xfId="0" applyFont="1" applyFill="1" applyBorder="1" applyAlignment="1" applyProtection="1">
      <alignment horizontal="center"/>
      <protection locked="0"/>
    </xf>
    <xf numFmtId="0" fontId="1" fillId="0" borderId="5" xfId="0" applyFont="1" applyBorder="1" applyAlignment="1" applyProtection="1">
      <alignment horizontal="center" wrapText="1"/>
    </xf>
    <xf numFmtId="0" fontId="11" fillId="16" borderId="6" xfId="0" applyFont="1" applyFill="1" applyBorder="1" applyAlignment="1" applyProtection="1">
      <alignment horizontal="left" vertical="center" shrinkToFit="1"/>
      <protection locked="0"/>
    </xf>
    <xf numFmtId="0" fontId="11" fillId="16" borderId="7" xfId="0" applyFont="1" applyFill="1" applyBorder="1" applyAlignment="1" applyProtection="1">
      <alignment horizontal="left" vertical="center" shrinkToFit="1"/>
      <protection locked="0"/>
    </xf>
    <xf numFmtId="0" fontId="11" fillId="16" borderId="8" xfId="0" applyFont="1" applyFill="1" applyBorder="1" applyAlignment="1" applyProtection="1">
      <alignment horizontal="left" vertical="center" shrinkToFit="1"/>
      <protection locked="0"/>
    </xf>
    <xf numFmtId="49" fontId="16" fillId="3" borderId="5" xfId="0" applyNumberFormat="1" applyFont="1" applyFill="1" applyBorder="1" applyAlignment="1" applyProtection="1">
      <alignment horizontal="left" vertical="center" shrinkToFit="1"/>
      <protection locked="0"/>
    </xf>
    <xf numFmtId="49" fontId="16" fillId="3" borderId="6" xfId="0" applyNumberFormat="1" applyFont="1" applyFill="1" applyBorder="1" applyAlignment="1" applyProtection="1">
      <alignment horizontal="left" vertical="center"/>
      <protection locked="0"/>
    </xf>
    <xf numFmtId="49" fontId="16" fillId="3" borderId="7" xfId="0" applyNumberFormat="1" applyFont="1" applyFill="1" applyBorder="1" applyAlignment="1" applyProtection="1">
      <alignment horizontal="left" vertical="center"/>
      <protection locked="0"/>
    </xf>
    <xf numFmtId="49" fontId="16" fillId="3" borderId="8" xfId="0" applyNumberFormat="1"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49" fontId="16" fillId="3" borderId="5" xfId="0" applyNumberFormat="1" applyFont="1" applyFill="1" applyBorder="1" applyAlignment="1" applyProtection="1">
      <alignment horizontal="left" vertical="center"/>
      <protection locked="0"/>
    </xf>
    <xf numFmtId="49" fontId="16" fillId="3" borderId="6" xfId="0" applyNumberFormat="1" applyFont="1" applyFill="1" applyBorder="1" applyAlignment="1" applyProtection="1">
      <alignment horizontal="left" vertical="center" shrinkToFit="1"/>
      <protection locked="0"/>
    </xf>
    <xf numFmtId="0" fontId="32" fillId="0" borderId="10" xfId="0" applyFont="1" applyFill="1" applyBorder="1" applyAlignment="1" applyProtection="1">
      <alignment horizontal="center" vertical="center" wrapText="1"/>
    </xf>
    <xf numFmtId="0" fontId="32" fillId="0" borderId="11"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16" xfId="0"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0" fontId="32" fillId="0" borderId="14" xfId="0" applyFont="1" applyFill="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shrinkToFit="1"/>
    </xf>
    <xf numFmtId="0" fontId="10" fillId="0" borderId="7" xfId="0" applyFont="1" applyFill="1" applyBorder="1" applyAlignment="1" applyProtection="1">
      <alignment horizontal="left" vertical="center" shrinkToFit="1"/>
    </xf>
    <xf numFmtId="0" fontId="11" fillId="0" borderId="5" xfId="0" applyFont="1" applyFill="1" applyBorder="1" applyAlignment="1" applyProtection="1">
      <alignment horizontal="left"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182" fontId="16" fillId="3" borderId="5" xfId="1" applyNumberFormat="1" applyFont="1" applyFill="1" applyBorder="1" applyAlignment="1" applyProtection="1">
      <alignment vertical="center" shrinkToFit="1"/>
      <protection locked="0"/>
    </xf>
    <xf numFmtId="183" fontId="48" fillId="22" borderId="21" xfId="0" applyNumberFormat="1" applyFont="1" applyFill="1" applyBorder="1" applyAlignment="1" applyProtection="1">
      <alignment vertical="center" shrinkToFit="1"/>
    </xf>
    <xf numFmtId="183" fontId="48" fillId="22" borderId="5" xfId="0" applyNumberFormat="1" applyFont="1" applyFill="1" applyBorder="1" applyAlignment="1" applyProtection="1">
      <alignment vertical="center" shrinkToFit="1"/>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182" fontId="11" fillId="4" borderId="5" xfId="1" applyNumberFormat="1" applyFont="1" applyFill="1" applyBorder="1" applyAlignment="1" applyProtection="1">
      <alignment vertical="center" shrinkToFit="1"/>
    </xf>
    <xf numFmtId="182" fontId="11" fillId="4" borderId="6" xfId="1" applyNumberFormat="1" applyFont="1" applyFill="1" applyBorder="1" applyAlignment="1" applyProtection="1">
      <alignment vertical="center" shrinkToFit="1"/>
    </xf>
    <xf numFmtId="182" fontId="11" fillId="4" borderId="7" xfId="1" applyNumberFormat="1" applyFont="1" applyFill="1" applyBorder="1" applyAlignment="1" applyProtection="1">
      <alignment vertical="center" shrinkToFit="1"/>
    </xf>
    <xf numFmtId="182" fontId="11" fillId="4" borderId="8" xfId="1" applyNumberFormat="1" applyFont="1" applyFill="1" applyBorder="1" applyAlignment="1" applyProtection="1">
      <alignment vertical="center" shrinkToFit="1"/>
    </xf>
    <xf numFmtId="0" fontId="1" fillId="0" borderId="5" xfId="0" applyFont="1" applyFill="1" applyBorder="1" applyAlignment="1" applyProtection="1">
      <alignment horizontal="left" vertical="center"/>
    </xf>
    <xf numFmtId="182" fontId="16" fillId="3" borderId="6" xfId="1" applyNumberFormat="1" applyFont="1" applyFill="1" applyBorder="1" applyAlignment="1" applyProtection="1">
      <alignment vertical="center" shrinkToFit="1"/>
      <protection locked="0"/>
    </xf>
    <xf numFmtId="182" fontId="16" fillId="3" borderId="7" xfId="1" applyNumberFormat="1" applyFont="1" applyFill="1" applyBorder="1" applyAlignment="1" applyProtection="1">
      <alignment vertical="center" shrinkToFit="1"/>
      <protection locked="0"/>
    </xf>
    <xf numFmtId="182" fontId="16" fillId="3" borderId="8" xfId="1" applyNumberFormat="1" applyFont="1" applyFill="1" applyBorder="1" applyAlignment="1" applyProtection="1">
      <alignment vertical="center" shrinkToFit="1"/>
      <protection locked="0"/>
    </xf>
    <xf numFmtId="182" fontId="11" fillId="4" borderId="21" xfId="0" applyNumberFormat="1" applyFont="1" applyFill="1" applyBorder="1" applyAlignment="1" applyProtection="1">
      <alignment vertical="center" shrinkToFit="1"/>
    </xf>
    <xf numFmtId="182" fontId="11" fillId="4" borderId="5" xfId="0" applyNumberFormat="1" applyFont="1" applyFill="1" applyBorder="1" applyAlignment="1" applyProtection="1">
      <alignment vertical="center" shrinkToFit="1"/>
    </xf>
    <xf numFmtId="0" fontId="13" fillId="0" borderId="0" xfId="0" applyFont="1" applyAlignment="1" applyProtection="1">
      <alignment horizontal="left"/>
    </xf>
    <xf numFmtId="171" fontId="13" fillId="0" borderId="0" xfId="0" applyNumberFormat="1" applyFont="1" applyAlignment="1" applyProtection="1">
      <alignment horizontal="left"/>
    </xf>
    <xf numFmtId="0" fontId="13" fillId="0" borderId="0" xfId="0" applyFont="1" applyAlignment="1" applyProtection="1">
      <alignment horizontal="left" shrinkToFit="1"/>
    </xf>
    <xf numFmtId="0" fontId="13" fillId="0" borderId="0" xfId="0" applyNumberFormat="1" applyFont="1" applyAlignment="1" applyProtection="1">
      <alignment horizontal="left"/>
    </xf>
    <xf numFmtId="169" fontId="13" fillId="0" borderId="0" xfId="0" applyNumberFormat="1" applyFont="1" applyAlignment="1" applyProtection="1">
      <alignment horizontal="left"/>
    </xf>
    <xf numFmtId="169" fontId="13" fillId="0" borderId="0" xfId="0" applyNumberFormat="1" applyFont="1" applyAlignment="1" applyProtection="1">
      <alignment horizontal="left" shrinkToFit="1"/>
    </xf>
    <xf numFmtId="0" fontId="9" fillId="0" borderId="0" xfId="0" applyFont="1" applyAlignment="1" applyProtection="1">
      <alignment horizontal="left"/>
    </xf>
    <xf numFmtId="0" fontId="29" fillId="0" borderId="5" xfId="0" applyFont="1" applyBorder="1" applyAlignment="1" applyProtection="1">
      <alignment horizontal="center" vertical="center" shrinkToFit="1"/>
    </xf>
    <xf numFmtId="166" fontId="13" fillId="0" borderId="0" xfId="2" applyNumberFormat="1" applyFont="1" applyAlignment="1" applyProtection="1">
      <alignment horizontal="left"/>
    </xf>
    <xf numFmtId="168" fontId="13" fillId="0" borderId="0" xfId="2" applyNumberFormat="1" applyFont="1" applyAlignment="1" applyProtection="1">
      <alignment horizontal="center"/>
    </xf>
    <xf numFmtId="165" fontId="13" fillId="0" borderId="0" xfId="2" applyFont="1" applyAlignment="1" applyProtection="1">
      <alignment horizontal="left"/>
    </xf>
    <xf numFmtId="167" fontId="13" fillId="0" borderId="0" xfId="2" applyNumberFormat="1" applyFont="1" applyAlignment="1" applyProtection="1">
      <alignment horizontal="left"/>
    </xf>
    <xf numFmtId="0" fontId="11" fillId="0" borderId="24" xfId="0" applyFont="1" applyFill="1" applyBorder="1" applyAlignment="1" applyProtection="1">
      <alignment horizontal="left" vertical="center"/>
    </xf>
    <xf numFmtId="0" fontId="21" fillId="0" borderId="5"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xf>
    <xf numFmtId="182" fontId="11" fillId="4" borderId="21" xfId="1" applyNumberFormat="1" applyFont="1" applyFill="1" applyBorder="1" applyAlignment="1" applyProtection="1">
      <alignment vertical="center" shrinkToFit="1"/>
    </xf>
    <xf numFmtId="0" fontId="5" fillId="0" borderId="5" xfId="0" applyFont="1" applyFill="1" applyBorder="1" applyAlignment="1" applyProtection="1">
      <alignment horizontal="center" vertical="center"/>
    </xf>
    <xf numFmtId="182" fontId="11" fillId="4" borderId="23" xfId="0" applyNumberFormat="1" applyFont="1" applyFill="1" applyBorder="1" applyAlignment="1" applyProtection="1">
      <alignment vertical="center" shrinkToFit="1"/>
    </xf>
    <xf numFmtId="182" fontId="11" fillId="4" borderId="17" xfId="0" applyNumberFormat="1" applyFont="1" applyFill="1" applyBorder="1" applyAlignment="1" applyProtection="1">
      <alignment vertical="center" shrinkToFit="1"/>
    </xf>
    <xf numFmtId="182" fontId="11" fillId="4" borderId="19" xfId="0" applyNumberFormat="1" applyFont="1" applyFill="1" applyBorder="1" applyAlignment="1" applyProtection="1">
      <alignment vertical="center" shrinkToFit="1"/>
    </xf>
    <xf numFmtId="182" fontId="11" fillId="4" borderId="22" xfId="0" applyNumberFormat="1" applyFont="1" applyFill="1" applyBorder="1" applyAlignment="1" applyProtection="1">
      <alignment vertical="center" shrinkToFit="1"/>
    </xf>
    <xf numFmtId="44" fontId="5" fillId="0" borderId="18" xfId="1" applyFont="1" applyFill="1" applyBorder="1" applyAlignment="1" applyProtection="1">
      <alignment horizontal="center" vertical="center"/>
    </xf>
    <xf numFmtId="0" fontId="11" fillId="0" borderId="6" xfId="0" applyFont="1" applyFill="1" applyBorder="1" applyAlignment="1" applyProtection="1">
      <alignment horizontal="right" vertical="center"/>
    </xf>
    <xf numFmtId="0" fontId="11" fillId="0" borderId="7" xfId="0" applyFont="1" applyFill="1" applyBorder="1" applyAlignment="1" applyProtection="1">
      <alignment horizontal="right" vertical="center"/>
    </xf>
    <xf numFmtId="182" fontId="11" fillId="4" borderId="17" xfId="1" applyNumberFormat="1" applyFont="1" applyFill="1" applyBorder="1" applyAlignment="1" applyProtection="1">
      <alignment vertical="center" shrinkToFit="1"/>
    </xf>
    <xf numFmtId="0" fontId="40" fillId="0" borderId="5" xfId="0" applyFont="1" applyFill="1" applyBorder="1" applyAlignment="1" applyProtection="1">
      <alignment horizontal="left" vertical="center"/>
    </xf>
    <xf numFmtId="182" fontId="16" fillId="3" borderId="18" xfId="1" applyNumberFormat="1" applyFont="1" applyFill="1" applyBorder="1" applyAlignment="1" applyProtection="1">
      <alignment vertical="center" shrinkToFit="1"/>
      <protection locked="0"/>
    </xf>
    <xf numFmtId="0" fontId="10" fillId="0" borderId="5" xfId="0" applyFont="1" applyFill="1" applyBorder="1" applyAlignment="1" applyProtection="1">
      <alignment horizontal="left" vertical="center" shrinkToFit="1"/>
    </xf>
    <xf numFmtId="183" fontId="5" fillId="0" borderId="18" xfId="1" applyNumberFormat="1" applyFont="1" applyFill="1" applyBorder="1" applyAlignment="1" applyProtection="1">
      <alignment vertical="center"/>
    </xf>
    <xf numFmtId="49" fontId="16" fillId="3" borderId="5"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14" fontId="1" fillId="20" borderId="5" xfId="0" applyNumberFormat="1" applyFont="1" applyFill="1" applyBorder="1" applyAlignment="1" applyProtection="1">
      <alignment horizontal="center" vertical="center"/>
      <protection locked="0"/>
    </xf>
    <xf numFmtId="0" fontId="10" fillId="0" borderId="5" xfId="0" applyFont="1" applyBorder="1" applyAlignment="1" applyProtection="1">
      <alignment horizontal="left" vertical="center" shrinkToFit="1"/>
    </xf>
    <xf numFmtId="0" fontId="23" fillId="4" borderId="6" xfId="1" applyNumberFormat="1" applyFont="1" applyFill="1" applyBorder="1" applyAlignment="1" applyProtection="1">
      <alignment horizontal="center" vertical="center"/>
    </xf>
    <xf numFmtId="0" fontId="23" fillId="4" borderId="7" xfId="1" applyNumberFormat="1" applyFont="1" applyFill="1" applyBorder="1" applyAlignment="1" applyProtection="1">
      <alignment horizontal="center" vertical="center"/>
    </xf>
    <xf numFmtId="0" fontId="23" fillId="4" borderId="8" xfId="1" applyNumberFormat="1" applyFont="1" applyFill="1" applyBorder="1" applyAlignment="1" applyProtection="1">
      <alignment horizontal="center" vertical="center"/>
    </xf>
    <xf numFmtId="0" fontId="0" fillId="4" borderId="5" xfId="0" applyFont="1" applyFill="1" applyBorder="1" applyAlignment="1" applyProtection="1">
      <alignment horizontal="right" vertical="center"/>
    </xf>
    <xf numFmtId="0" fontId="21" fillId="4" borderId="5" xfId="0" applyFont="1" applyFill="1" applyBorder="1" applyAlignment="1" applyProtection="1">
      <alignment horizontal="right" vertical="center"/>
    </xf>
    <xf numFmtId="0" fontId="23" fillId="4" borderId="5" xfId="1" applyNumberFormat="1" applyFont="1" applyFill="1" applyBorder="1" applyAlignment="1" applyProtection="1">
      <alignment horizontal="center" vertical="center"/>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44" fontId="11" fillId="4" borderId="5" xfId="1" applyFont="1" applyFill="1" applyBorder="1" applyAlignment="1" applyProtection="1">
      <alignment horizontal="center" vertical="center" shrinkToFit="1"/>
    </xf>
    <xf numFmtId="14" fontId="27" fillId="20" borderId="6" xfId="0" applyNumberFormat="1" applyFont="1" applyFill="1" applyBorder="1" applyAlignment="1" applyProtection="1">
      <alignment horizontal="center" vertical="center"/>
      <protection locked="0"/>
    </xf>
    <xf numFmtId="14" fontId="27" fillId="20" borderId="7" xfId="0" applyNumberFormat="1" applyFont="1" applyFill="1" applyBorder="1" applyAlignment="1" applyProtection="1">
      <alignment horizontal="center" vertical="center"/>
      <protection locked="0"/>
    </xf>
    <xf numFmtId="14" fontId="27" fillId="20" borderId="8" xfId="0" applyNumberFormat="1" applyFont="1" applyFill="1" applyBorder="1" applyAlignment="1" applyProtection="1">
      <alignment horizontal="center" vertical="center"/>
      <protection locked="0"/>
    </xf>
    <xf numFmtId="182" fontId="11" fillId="4" borderId="20" xfId="1" applyNumberFormat="1" applyFont="1" applyFill="1" applyBorder="1" applyAlignment="1" applyProtection="1">
      <alignment vertical="center" shrinkToFit="1"/>
    </xf>
    <xf numFmtId="0" fontId="5" fillId="4" borderId="5" xfId="0" applyFont="1" applyFill="1" applyBorder="1" applyAlignment="1" applyProtection="1">
      <alignment horizontal="center" vertical="center" shrinkToFit="1"/>
    </xf>
    <xf numFmtId="0" fontId="1" fillId="0" borderId="9"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1" fillId="0" borderId="5" xfId="0" applyFont="1" applyFill="1" applyBorder="1" applyAlignment="1" applyProtection="1">
      <alignment horizontal="right" vertical="center" wrapText="1"/>
    </xf>
    <xf numFmtId="0" fontId="11" fillId="10" borderId="5" xfId="0" applyFont="1" applyFill="1" applyBorder="1" applyAlignment="1" applyProtection="1">
      <alignment horizontal="center" vertical="center"/>
    </xf>
    <xf numFmtId="170" fontId="16" fillId="3" borderId="5" xfId="0" applyNumberFormat="1"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49" fontId="16" fillId="3" borderId="6" xfId="0" applyNumberFormat="1" applyFont="1" applyFill="1" applyBorder="1" applyAlignment="1" applyProtection="1">
      <alignment horizontal="center" vertical="center" shrinkToFit="1"/>
      <protection locked="0"/>
    </xf>
    <xf numFmtId="49" fontId="16" fillId="3" borderId="7" xfId="0" applyNumberFormat="1" applyFont="1" applyFill="1" applyBorder="1" applyAlignment="1" applyProtection="1">
      <alignment horizontal="center" vertical="center" shrinkToFit="1"/>
      <protection locked="0"/>
    </xf>
    <xf numFmtId="49" fontId="16" fillId="3" borderId="8" xfId="0" applyNumberFormat="1" applyFont="1" applyFill="1" applyBorder="1" applyAlignment="1" applyProtection="1">
      <alignment horizontal="center" vertical="center" shrinkToFit="1"/>
      <protection locked="0"/>
    </xf>
    <xf numFmtId="0" fontId="24" fillId="4" borderId="5"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44" fontId="16" fillId="3" borderId="5" xfId="0" applyNumberFormat="1" applyFont="1" applyFill="1" applyBorder="1" applyAlignment="1" applyProtection="1">
      <alignment horizontal="center" vertical="center" shrinkToFit="1"/>
      <protection locked="0"/>
    </xf>
    <xf numFmtId="49" fontId="16" fillId="3" borderId="5"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24" fillId="7" borderId="9" xfId="0" applyFont="1" applyFill="1" applyBorder="1" applyAlignment="1" applyProtection="1">
      <alignment horizontal="left" vertical="center"/>
      <protection locked="0"/>
    </xf>
    <xf numFmtId="0" fontId="24" fillId="7" borderId="10" xfId="0" applyFont="1" applyFill="1" applyBorder="1" applyAlignment="1" applyProtection="1">
      <alignment horizontal="left" vertical="center"/>
      <protection locked="0"/>
    </xf>
    <xf numFmtId="0" fontId="24" fillId="7" borderId="11" xfId="0" applyFont="1" applyFill="1" applyBorder="1" applyAlignment="1" applyProtection="1">
      <alignment horizontal="left" vertical="center"/>
      <protection locked="0"/>
    </xf>
    <xf numFmtId="0" fontId="24" fillId="7" borderId="12" xfId="0" applyFont="1" applyFill="1" applyBorder="1" applyAlignment="1" applyProtection="1">
      <alignment horizontal="left" vertical="center"/>
      <protection locked="0"/>
    </xf>
    <xf numFmtId="0" fontId="24" fillId="7" borderId="13" xfId="0" applyFont="1" applyFill="1" applyBorder="1" applyAlignment="1" applyProtection="1">
      <alignment horizontal="left" vertical="center"/>
      <protection locked="0"/>
    </xf>
    <xf numFmtId="0" fontId="24" fillId="7" borderId="14" xfId="0" applyFont="1" applyFill="1" applyBorder="1" applyAlignment="1" applyProtection="1">
      <alignment horizontal="left" vertical="center"/>
      <protection locked="0"/>
    </xf>
    <xf numFmtId="49" fontId="14" fillId="3" borderId="5" xfId="0" applyNumberFormat="1" applyFont="1" applyFill="1" applyBorder="1" applyAlignment="1" applyProtection="1">
      <alignment horizontal="left" vertical="center"/>
      <protection locked="0"/>
    </xf>
    <xf numFmtId="168" fontId="11" fillId="4" borderId="6" xfId="0" applyNumberFormat="1" applyFont="1" applyFill="1" applyBorder="1" applyAlignment="1" applyProtection="1">
      <alignment horizontal="center" vertical="center" shrinkToFit="1"/>
    </xf>
    <xf numFmtId="168" fontId="11" fillId="4" borderId="7" xfId="0" applyNumberFormat="1" applyFont="1" applyFill="1" applyBorder="1" applyAlignment="1" applyProtection="1">
      <alignment horizontal="center" vertical="center" shrinkToFit="1"/>
    </xf>
    <xf numFmtId="168" fontId="11" fillId="4" borderId="8" xfId="0" applyNumberFormat="1" applyFont="1" applyFill="1" applyBorder="1" applyAlignment="1" applyProtection="1">
      <alignment horizontal="center" vertical="center" shrinkToFit="1"/>
    </xf>
    <xf numFmtId="0" fontId="1" fillId="0" borderId="18"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11" fillId="0" borderId="5" xfId="0" applyFont="1" applyFill="1" applyBorder="1" applyAlignment="1" applyProtection="1">
      <alignment horizontal="right" vertical="center"/>
    </xf>
    <xf numFmtId="0" fontId="11" fillId="0" borderId="8" xfId="0" applyFont="1" applyFill="1" applyBorder="1" applyAlignment="1" applyProtection="1">
      <alignment horizontal="right" vertical="center"/>
    </xf>
    <xf numFmtId="14" fontId="11" fillId="10" borderId="5" xfId="0" applyNumberFormat="1" applyFont="1" applyFill="1" applyBorder="1" applyAlignment="1" applyProtection="1">
      <alignment horizontal="center" vertical="center"/>
    </xf>
    <xf numFmtId="172" fontId="11" fillId="4" borderId="5" xfId="1" applyNumberFormat="1" applyFont="1" applyFill="1" applyBorder="1" applyAlignment="1" applyProtection="1">
      <alignment horizontal="center" vertical="center" shrinkToFit="1"/>
    </xf>
    <xf numFmtId="14" fontId="1" fillId="20" borderId="6" xfId="0" applyNumberFormat="1" applyFont="1" applyFill="1" applyBorder="1" applyAlignment="1" applyProtection="1">
      <alignment horizontal="left" vertical="center"/>
      <protection locked="0"/>
    </xf>
    <xf numFmtId="14" fontId="1" fillId="20" borderId="7" xfId="0" applyNumberFormat="1" applyFont="1" applyFill="1" applyBorder="1" applyAlignment="1" applyProtection="1">
      <alignment horizontal="left" vertical="center"/>
      <protection locked="0"/>
    </xf>
    <xf numFmtId="14" fontId="1" fillId="20" borderId="8" xfId="0" applyNumberFormat="1" applyFont="1" applyFill="1" applyBorder="1" applyAlignment="1" applyProtection="1">
      <alignment horizontal="left" vertical="center"/>
      <protection locked="0"/>
    </xf>
    <xf numFmtId="14" fontId="1" fillId="20" borderId="6" xfId="0" applyNumberFormat="1" applyFont="1" applyFill="1" applyBorder="1" applyAlignment="1" applyProtection="1">
      <alignment horizontal="center" vertical="center"/>
      <protection locked="0"/>
    </xf>
    <xf numFmtId="14" fontId="1" fillId="20" borderId="7" xfId="0" applyNumberFormat="1" applyFont="1" applyFill="1" applyBorder="1" applyAlignment="1" applyProtection="1">
      <alignment horizontal="center" vertical="center"/>
      <protection locked="0"/>
    </xf>
    <xf numFmtId="14" fontId="1" fillId="20" borderId="8" xfId="0" applyNumberFormat="1" applyFont="1" applyFill="1" applyBorder="1" applyAlignment="1" applyProtection="1">
      <alignment horizontal="center" vertical="center"/>
      <protection locked="0"/>
    </xf>
    <xf numFmtId="2" fontId="1" fillId="20" borderId="7" xfId="0" applyNumberFormat="1" applyFont="1" applyFill="1" applyBorder="1" applyAlignment="1" applyProtection="1">
      <alignment horizontal="center" vertical="center"/>
      <protection locked="0"/>
    </xf>
    <xf numFmtId="2" fontId="1" fillId="20" borderId="8" xfId="0" applyNumberFormat="1" applyFont="1" applyFill="1" applyBorder="1" applyAlignment="1" applyProtection="1">
      <alignment horizontal="center" vertical="center"/>
      <protection locked="0"/>
    </xf>
    <xf numFmtId="0" fontId="11" fillId="0" borderId="5" xfId="0" applyFont="1" applyFill="1" applyBorder="1" applyAlignment="1" applyProtection="1">
      <alignment horizontal="left" vertical="center" shrinkToFit="1"/>
    </xf>
    <xf numFmtId="0" fontId="11" fillId="3" borderId="5"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2" fillId="0" borderId="15"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26" fillId="2" borderId="5" xfId="0" applyFont="1" applyFill="1" applyBorder="1" applyAlignment="1" applyProtection="1">
      <alignment horizontal="left" vertical="center" wrapText="1"/>
    </xf>
    <xf numFmtId="0" fontId="0" fillId="0" borderId="15" xfId="0" applyFont="1" applyBorder="1" applyAlignment="1" applyProtection="1">
      <alignment horizontal="left" vertical="top" wrapText="1"/>
    </xf>
    <xf numFmtId="0" fontId="0" fillId="0" borderId="0" xfId="0" applyFont="1" applyAlignment="1" applyProtection="1">
      <alignment horizontal="left" vertical="top" wrapText="1"/>
    </xf>
    <xf numFmtId="0" fontId="38" fillId="0" borderId="15" xfId="0" applyFont="1" applyBorder="1" applyAlignment="1" applyProtection="1">
      <alignment horizontal="left" vertical="top" wrapText="1"/>
    </xf>
    <xf numFmtId="0" fontId="38" fillId="0" borderId="0" xfId="0" applyFont="1" applyBorder="1" applyAlignment="1" applyProtection="1">
      <alignment horizontal="left" vertical="top" wrapText="1"/>
    </xf>
    <xf numFmtId="180" fontId="22" fillId="20" borderId="6" xfId="0" applyNumberFormat="1" applyFont="1" applyFill="1" applyBorder="1" applyAlignment="1" applyProtection="1">
      <alignment horizontal="center" vertical="center"/>
      <protection locked="0"/>
    </xf>
    <xf numFmtId="180" fontId="22" fillId="20" borderId="7" xfId="0" applyNumberFormat="1" applyFont="1" applyFill="1" applyBorder="1" applyAlignment="1" applyProtection="1">
      <alignment horizontal="center" vertical="center"/>
      <protection locked="0"/>
    </xf>
    <xf numFmtId="180" fontId="22" fillId="20" borderId="8" xfId="0" applyNumberFormat="1" applyFont="1" applyFill="1" applyBorder="1" applyAlignment="1" applyProtection="1">
      <alignment horizontal="center" vertical="center"/>
      <protection locked="0"/>
    </xf>
    <xf numFmtId="0" fontId="22" fillId="10" borderId="9" xfId="0" applyFont="1" applyFill="1" applyBorder="1" applyAlignment="1" applyProtection="1">
      <alignment horizontal="center" vertical="center"/>
    </xf>
    <xf numFmtId="0" fontId="22" fillId="10" borderId="10" xfId="0" applyFont="1" applyFill="1" applyBorder="1" applyAlignment="1" applyProtection="1">
      <alignment horizontal="center" vertical="center"/>
    </xf>
    <xf numFmtId="0" fontId="22" fillId="10" borderId="11"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0" xfId="0" applyFont="1" applyFill="1" applyBorder="1" applyAlignment="1" applyProtection="1">
      <alignment horizontal="center" vertical="center"/>
    </xf>
    <xf numFmtId="0" fontId="22" fillId="10" borderId="16" xfId="0" applyFont="1" applyFill="1" applyBorder="1" applyAlignment="1" applyProtection="1">
      <alignment horizontal="center" vertical="center"/>
    </xf>
    <xf numFmtId="0" fontId="22" fillId="10" borderId="12" xfId="0" applyFont="1" applyFill="1" applyBorder="1" applyAlignment="1" applyProtection="1">
      <alignment horizontal="center" vertical="center"/>
    </xf>
    <xf numFmtId="0" fontId="22" fillId="10" borderId="13" xfId="0" applyFont="1" applyFill="1" applyBorder="1" applyAlignment="1" applyProtection="1">
      <alignment horizontal="center" vertical="center"/>
    </xf>
    <xf numFmtId="0" fontId="22" fillId="10" borderId="14" xfId="0" applyFont="1" applyFill="1" applyBorder="1" applyAlignment="1" applyProtection="1">
      <alignment horizontal="center" vertical="center"/>
    </xf>
    <xf numFmtId="14" fontId="22" fillId="5" borderId="5" xfId="0" applyNumberFormat="1" applyFont="1" applyFill="1" applyBorder="1" applyAlignment="1" applyProtection="1">
      <alignment horizontal="center" vertical="center"/>
    </xf>
    <xf numFmtId="0" fontId="36" fillId="0" borderId="33" xfId="7" applyFont="1" applyBorder="1" applyAlignment="1">
      <alignment horizontal="center" vertical="center" wrapText="1"/>
    </xf>
    <xf numFmtId="0" fontId="42" fillId="0" borderId="32" xfId="7" applyFont="1" applyBorder="1" applyAlignment="1">
      <alignment horizontal="center" vertical="center" wrapText="1"/>
    </xf>
    <xf numFmtId="0" fontId="42" fillId="0" borderId="31" xfId="7" applyFont="1" applyBorder="1" applyAlignment="1">
      <alignment horizontal="center" vertical="center" wrapText="1"/>
    </xf>
    <xf numFmtId="0" fontId="46" fillId="19" borderId="33" xfId="7" applyFont="1" applyFill="1" applyBorder="1" applyAlignment="1">
      <alignment horizontal="center" vertical="top" wrapText="1"/>
    </xf>
    <xf numFmtId="0" fontId="46" fillId="19" borderId="32" xfId="7" applyFont="1" applyFill="1" applyBorder="1" applyAlignment="1">
      <alignment horizontal="center" vertical="top" wrapText="1"/>
    </xf>
    <xf numFmtId="0" fontId="46" fillId="19" borderId="31" xfId="7" applyFont="1" applyFill="1" applyBorder="1" applyAlignment="1">
      <alignment horizontal="center" vertical="top" wrapText="1"/>
    </xf>
    <xf numFmtId="0" fontId="45" fillId="19" borderId="33" xfId="7" applyFont="1" applyFill="1" applyBorder="1" applyAlignment="1">
      <alignment horizontal="center" vertical="top" wrapText="1"/>
    </xf>
    <xf numFmtId="0" fontId="45" fillId="19" borderId="32" xfId="7" applyFont="1" applyFill="1" applyBorder="1" applyAlignment="1">
      <alignment horizontal="center" vertical="top" wrapText="1"/>
    </xf>
    <xf numFmtId="0" fontId="45" fillId="19" borderId="31" xfId="7" applyFont="1" applyFill="1" applyBorder="1" applyAlignment="1">
      <alignment horizontal="center" vertical="top" wrapText="1"/>
    </xf>
    <xf numFmtId="0" fontId="44" fillId="21" borderId="36" xfId="7" applyFont="1" applyFill="1" applyBorder="1" applyAlignment="1">
      <alignment horizontal="center" vertical="center" wrapText="1"/>
    </xf>
    <xf numFmtId="0" fontId="44" fillId="21" borderId="35" xfId="7" applyFont="1" applyFill="1" applyBorder="1" applyAlignment="1">
      <alignment horizontal="center" vertical="center" wrapText="1"/>
    </xf>
    <xf numFmtId="0" fontId="44" fillId="21" borderId="33" xfId="7" applyFont="1" applyFill="1" applyBorder="1" applyAlignment="1">
      <alignment horizontal="center" vertical="center" wrapText="1"/>
    </xf>
    <xf numFmtId="0" fontId="44" fillId="21" borderId="31" xfId="7" applyFont="1" applyFill="1" applyBorder="1" applyAlignment="1">
      <alignment horizontal="center" vertical="center" wrapText="1"/>
    </xf>
    <xf numFmtId="0" fontId="0" fillId="0" borderId="0" xfId="0" applyAlignment="1">
      <alignment horizontal="left"/>
    </xf>
  </cellXfs>
  <cellStyles count="9">
    <cellStyle name="Comma" xfId="3" builtinId="3"/>
    <cellStyle name="Currency" xfId="1" builtinId="4"/>
    <cellStyle name="Normal" xfId="0" builtinId="0"/>
    <cellStyle name="Normal 10" xfId="4" xr:uid="{00000000-0005-0000-0000-000003000000}"/>
    <cellStyle name="Normal 2" xfId="2" xr:uid="{00000000-0005-0000-0000-000004000000}"/>
    <cellStyle name="Normal 3" xfId="5" xr:uid="{00000000-0005-0000-0000-000005000000}"/>
    <cellStyle name="Normal 4" xfId="6" xr:uid="{00000000-0005-0000-0000-000006000000}"/>
    <cellStyle name="Normal 5" xfId="7" xr:uid="{A86A7B61-BD41-4A7D-B59B-FECB089DC33B}"/>
    <cellStyle name="Normal 6" xfId="8" xr:uid="{13AA77FF-D4DD-46DA-82EF-92C03F0B3D27}"/>
  </cellStyles>
  <dxfs count="164">
    <dxf>
      <fill>
        <patternFill>
          <bgColor rgb="FFFF0000"/>
        </patternFill>
      </fill>
    </dxf>
    <dxf>
      <fill>
        <patternFill>
          <bgColor rgb="FF00B0F0"/>
        </patternFill>
      </fill>
    </dxf>
    <dxf>
      <fill>
        <patternFill>
          <bgColor rgb="FF92D050"/>
        </patternFill>
      </fill>
    </dxf>
    <dxf>
      <fill>
        <patternFill patternType="mediumGray"/>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bgColor rgb="FFFFFF00"/>
        </patternFill>
      </fill>
    </dxf>
    <dxf>
      <fill>
        <patternFill>
          <bgColor rgb="FFFF0000"/>
        </patternFill>
      </fill>
    </dxf>
    <dxf>
      <font>
        <b/>
        <i val="0"/>
        <color rgb="FFFFFF00"/>
      </font>
      <fill>
        <patternFill>
          <bgColor rgb="FFFF0000"/>
        </patternFill>
      </fill>
    </dxf>
    <dxf>
      <font>
        <b/>
        <i/>
        <color rgb="FFFFFF00"/>
      </font>
      <fill>
        <patternFill>
          <bgColor rgb="FFFF0000"/>
        </patternFill>
      </fill>
    </dxf>
    <dxf>
      <font>
        <b/>
        <i val="0"/>
        <color rgb="FFFFFF00"/>
      </font>
      <fill>
        <patternFill>
          <bgColor rgb="FFFF0000"/>
        </patternFill>
      </fill>
    </dxf>
    <dxf>
      <font>
        <b/>
        <i/>
        <color rgb="FFFFFF00"/>
      </font>
      <fill>
        <patternFill>
          <bgColor rgb="FFFF0000"/>
        </patternFill>
      </fill>
    </dxf>
    <dxf>
      <font>
        <b/>
        <i/>
        <color rgb="FFFFFF00"/>
      </font>
      <fill>
        <patternFill>
          <bgColor rgb="FFFF0000"/>
        </patternFill>
      </fill>
    </dxf>
    <dxf>
      <font>
        <b/>
        <i/>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ill>
        <patternFill>
          <bgColor rgb="FFFF0000"/>
        </patternFill>
      </fill>
    </dxf>
    <dxf>
      <fill>
        <patternFill>
          <bgColor rgb="FFFF0000"/>
        </patternFill>
      </fill>
    </dxf>
    <dxf>
      <font>
        <b/>
        <i val="0"/>
        <color rgb="FFFFFF00"/>
      </font>
      <fill>
        <patternFill>
          <bgColor rgb="FFFF0000"/>
        </patternFill>
      </fill>
    </dxf>
    <dxf>
      <font>
        <b/>
        <i val="0"/>
        <color rgb="FFFFFF00"/>
      </font>
      <fill>
        <patternFill>
          <bgColor rgb="FFFF0000"/>
        </patternFill>
      </fill>
    </dxf>
    <dxf>
      <font>
        <color rgb="FFFFFF00"/>
      </font>
      <fill>
        <patternFill>
          <bgColor rgb="FFFF0000"/>
        </patternFill>
      </fill>
    </dxf>
    <dxf>
      <font>
        <b/>
        <i val="0"/>
        <color rgb="FFFFC000"/>
      </font>
      <fill>
        <patternFill>
          <bgColor rgb="FFFF0000"/>
        </patternFill>
      </fill>
    </dxf>
    <dxf>
      <font>
        <b/>
        <i val="0"/>
        <color rgb="FFFFFF00"/>
      </font>
      <fill>
        <patternFill>
          <bgColor rgb="FFFF0000"/>
        </patternFill>
      </fill>
    </dxf>
    <dxf>
      <font>
        <b/>
        <i/>
        <color rgb="FFFFFF00"/>
      </font>
      <fill>
        <patternFill>
          <bgColor rgb="FFFF0000"/>
        </patternFill>
      </fill>
    </dxf>
    <dxf>
      <font>
        <b/>
        <i val="0"/>
        <color rgb="FFFFFF00"/>
      </font>
      <fill>
        <patternFill>
          <bgColor rgb="FFFF0000"/>
        </patternFill>
      </fill>
    </dxf>
    <dxf>
      <font>
        <b/>
        <i/>
        <color rgb="FFFFFF00"/>
      </font>
      <fill>
        <patternFill>
          <bgColor rgb="FFFF0000"/>
        </patternFill>
      </fill>
    </dxf>
    <dxf>
      <font>
        <b/>
        <i val="0"/>
        <color rgb="FFFFFF00"/>
      </font>
      <fill>
        <patternFill>
          <bgColor rgb="FFFF0000"/>
        </patternFill>
      </fill>
    </dxf>
    <dxf>
      <font>
        <b/>
        <i/>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lor rgb="FFFFFF00"/>
      </font>
      <fill>
        <patternFill>
          <bgColor rgb="FF0070C0"/>
        </patternFill>
      </fill>
      <border>
        <left style="thin">
          <color rgb="FFFF0000"/>
        </left>
        <right style="thin">
          <color rgb="FFFF0000"/>
        </right>
        <top style="thin">
          <color rgb="FFFF0000"/>
        </top>
        <bottom style="thin">
          <color rgb="FFFF0000"/>
        </bottom>
        <vertical/>
        <horizontal/>
      </border>
    </dxf>
    <dxf>
      <fill>
        <patternFill>
          <bgColor rgb="FFFFFF95"/>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0000"/>
      </font>
      <fill>
        <patternFill>
          <bgColor rgb="FFFFFF00"/>
        </patternFill>
      </fill>
    </dxf>
    <dxf>
      <font>
        <b/>
        <i val="0"/>
        <color rgb="FFFF0000"/>
      </font>
      <fill>
        <patternFill>
          <bgColor rgb="FFFFFF00"/>
        </patternFill>
      </fill>
    </dxf>
    <dxf>
      <fill>
        <patternFill>
          <bgColor rgb="FF92D050"/>
        </patternFill>
      </fill>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6" tint="0.39997558519241921"/>
        </top>
        <bottom style="thin">
          <color theme="6" tint="0.3999755851924192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6" tint="0.39997558519241921"/>
        </top>
        <bottom style="thin">
          <color theme="6" tint="0.3999755851924192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6" tint="0.39997558519241921"/>
        </top>
        <bottom style="thin">
          <color theme="6" tint="0.39997558519241921"/>
        </bottom>
        <vertical/>
        <horizontal/>
      </border>
    </dxf>
    <dxf>
      <border outline="0">
        <top style="thin">
          <color theme="6" tint="0.39997558519241921"/>
        </top>
      </border>
    </dxf>
    <dxf>
      <border outline="0">
        <left style="thin">
          <color theme="6" tint="0.39997558519241921"/>
        </left>
        <top style="thin">
          <color theme="6" tint="0.39997558519241921"/>
        </top>
        <bottom style="thin">
          <color theme="6" tint="0.3999755851924192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6"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dxf>
    <dxf>
      <font>
        <strike val="0"/>
        <outline val="0"/>
        <shadow val="0"/>
        <u val="none"/>
        <vertAlign val="baseline"/>
        <sz val="11"/>
        <color auto="1"/>
        <name val="Calibri"/>
        <scheme val="minor"/>
      </font>
      <fill>
        <patternFill patternType="solid">
          <fgColor indexed="64"/>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scheme val="minor"/>
      </font>
    </dxf>
    <dxf>
      <fill>
        <patternFill patternType="none">
          <fgColor indexed="64"/>
          <bgColor indexed="65"/>
        </patternFill>
      </fill>
    </dxf>
    <dxf>
      <numFmt numFmtId="0" formatCode="General"/>
    </dxf>
    <dxf>
      <numFmt numFmtId="0" formatCode="General"/>
    </dxf>
    <dxf>
      <font>
        <b val="0"/>
        <i val="0"/>
        <strike val="0"/>
        <condense val="0"/>
        <extend val="0"/>
        <outline val="0"/>
        <shadow val="0"/>
        <u val="none"/>
        <vertAlign val="baseline"/>
        <sz val="11"/>
        <color theme="1"/>
        <name val="Calibri"/>
        <scheme val="minor"/>
      </font>
      <numFmt numFmtId="35" formatCode="_(* #,##0.00_);_(* \(#,##0.00\);_(* &quot;-&quot;??_);_(@_)"/>
      <fill>
        <patternFill patternType="none">
          <fgColor indexed="64"/>
          <bgColor auto="1"/>
        </patternFill>
      </fill>
    </dxf>
    <dxf>
      <numFmt numFmtId="35" formatCode="_(* #,##0.00_);_(* \(#,##0.00\);_(* &quot;-&quot;??_);_(@_)"/>
      <fill>
        <patternFill patternType="none">
          <fgColor indexed="64"/>
          <bgColor auto="1"/>
        </patternFill>
      </fill>
    </dxf>
    <dxf>
      <numFmt numFmtId="30" formatCode="@"/>
    </dxf>
    <dxf>
      <font>
        <strike val="0"/>
        <outline val="0"/>
        <shadow val="0"/>
        <u val="none"/>
        <vertAlign val="baseline"/>
        <sz val="11"/>
        <color auto="1"/>
        <name val="Calibri"/>
        <scheme val="minor"/>
      </font>
      <alignment horizontal="left" vertical="top" textRotation="0" indent="0" justifyLastLine="0" shrinkToFit="0" readingOrder="0"/>
    </dxf>
    <dxf>
      <fill>
        <patternFill patternType="none">
          <fgColor indexed="64"/>
          <bgColor indexed="65"/>
        </patternFill>
      </fill>
    </dxf>
    <dxf>
      <numFmt numFmtId="0" formatCode="General"/>
    </dxf>
    <dxf>
      <alignment horizontal="left" vertical="bottom" textRotation="0" wrapText="0" indent="0" justifyLastLine="0" shrinkToFit="0" readingOrder="0"/>
    </dxf>
    <dxf>
      <numFmt numFmtId="4" formatCode="#,##0.00"/>
      <fill>
        <patternFill patternType="none">
          <fgColor indexed="64"/>
          <bgColor indexed="65"/>
        </patternFill>
      </fill>
    </dxf>
    <dxf>
      <numFmt numFmtId="4" formatCode="#,##0.00"/>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dxf>
    <dxf>
      <protection locked="0" hidden="0"/>
    </dxf>
    <dxf>
      <protection locked="0" hidden="0"/>
    </dxf>
    <dxf>
      <protection locked="0" hidden="0"/>
    </dxf>
    <dxf>
      <protection locked="0" hidden="0"/>
    </dxf>
    <dxf>
      <fill>
        <patternFill patternType="solid">
          <fgColor indexed="64"/>
          <bgColor rgb="FF92D050"/>
        </patternFill>
      </fill>
    </dxf>
    <dxf>
      <fill>
        <patternFill patternType="solid">
          <fgColor indexed="64"/>
          <bgColor rgb="FF92D050"/>
        </patternFill>
      </fill>
    </dxf>
    <dxf>
      <numFmt numFmtId="2" formatCode="0.00"/>
    </dxf>
    <dxf>
      <fill>
        <patternFill patternType="solid">
          <fgColor indexed="64"/>
          <bgColor rgb="FF92D050"/>
        </patternFill>
      </fill>
    </dxf>
  </dxfs>
  <tableStyles count="0" defaultTableStyle="TableStyleMedium2" defaultPivotStyle="PivotStyleLight16"/>
  <colors>
    <mruColors>
      <color rgb="FFCAE8A8"/>
      <color rgb="FFFFFF81"/>
      <color rgb="FFC9E7A9"/>
      <color rgb="FFF8CBAD"/>
      <color rgb="FFFFFF95"/>
      <color rgb="FFDDF0C8"/>
      <color rgb="FFE2F2D0"/>
      <color rgb="FFE4F3D3"/>
      <color rgb="FF00B0F0"/>
      <color rgb="FF79D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38044</xdr:colOff>
      <xdr:row>62</xdr:row>
      <xdr:rowOff>71577</xdr:rowOff>
    </xdr:from>
    <xdr:to>
      <xdr:col>132</xdr:col>
      <xdr:colOff>11452</xdr:colOff>
      <xdr:row>107</xdr:row>
      <xdr:rowOff>17930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2394" y="10320477"/>
          <a:ext cx="7002858" cy="9518978"/>
        </a:xfrm>
        <a:prstGeom prst="rect">
          <a:avLst/>
        </a:prstGeom>
      </xdr:spPr>
    </xdr:pic>
    <xdr:clientData/>
  </xdr:twoCellAnchor>
  <xdr:twoCellAnchor editAs="oneCell">
    <xdr:from>
      <xdr:col>9</xdr:col>
      <xdr:colOff>9524</xdr:colOff>
      <xdr:row>107</xdr:row>
      <xdr:rowOff>29680</xdr:rowOff>
    </xdr:from>
    <xdr:to>
      <xdr:col>132</xdr:col>
      <xdr:colOff>19050</xdr:colOff>
      <xdr:row>150</xdr:row>
      <xdr:rowOff>180975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128036" y="20503115"/>
          <a:ext cx="8342795" cy="7038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1" displayName="Table11" ref="A4:C7" totalsRowShown="0">
  <autoFilter ref="A4:C7" xr:uid="{00000000-0009-0000-0100-00000B000000}"/>
  <tableColumns count="3">
    <tableColumn id="1" xr3:uid="{00000000-0010-0000-0000-000001000000}" name="#"/>
    <tableColumn id="2" xr3:uid="{00000000-0010-0000-0000-000002000000}" name="Authorized?" dataDxfId="163"/>
    <tableColumn id="3" xr3:uid="{00000000-0010-0000-0000-000003000000}" name="Defini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e7" displayName="Table7" ref="AB1:AC2" totalsRowShown="0" headerRowDxfId="132">
  <autoFilter ref="AB1:AC2" xr:uid="{00000000-0009-0000-0100-000007000000}"/>
  <tableColumns count="2">
    <tableColumn id="1" xr3:uid="{00000000-0010-0000-0900-000001000000}" name="Verification"/>
    <tableColumn id="2" xr3:uid="{00000000-0010-0000-0900-000002000000}" name="Messag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EADFC3F-A0D5-42CE-9BF3-C1F15E21CD8D}" name="CivBAH" displayName="CivBAH" ref="K1:M108" totalsRowShown="0" headerRowDxfId="131" dataDxfId="129" headerRowBorderDxfId="130" tableBorderDxfId="128" totalsRowBorderDxfId="127">
  <autoFilter ref="K1:M108" xr:uid="{DEADFC3F-A0D5-42CE-9BF3-C1F15E21CD8D}"/>
  <sortState xmlns:xlrd2="http://schemas.microsoft.com/office/spreadsheetml/2017/richdata2" ref="K2:M110">
    <sortCondition ref="M1:M110"/>
  </sortState>
  <tableColumns count="3">
    <tableColumn id="1" xr3:uid="{069EF8CF-2B38-4405-8835-09BB529988A3}" name="Military" dataDxfId="126"/>
    <tableColumn id="2" xr3:uid="{C0DCBEEE-EEEC-4D60-B93A-F8A3D3FDE5CF}" name="All Ranks" dataDxfId="125"/>
    <tableColumn id="3" xr3:uid="{655FDBB8-2DCD-4B09-B0E7-3EAC980A6B35}" name="Sort" dataDxfId="124"/>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Status" displayName="Status" ref="A2:S18" totalsRowShown="0" headerRowDxfId="123">
  <autoFilter ref="A2:S18" xr:uid="{00000000-0009-0000-0100-00000A000000}"/>
  <tableColumns count="19">
    <tableColumn id="1" xr3:uid="{00000000-0010-0000-0A00-000001000000}" name="Order"/>
    <tableColumn id="19" xr3:uid="{00000000-0010-0000-0A00-000013000000}" name="Status"/>
    <tableColumn id="16" xr3:uid="{00000000-0010-0000-0A00-000010000000}" name="BAS"/>
    <tableColumn id="5" xr3:uid="{00000000-0010-0000-0A00-000005000000}" name="Key" dataDxfId="122">
      <calculatedColumnFormula>Status[[#This Row],[Status]] &amp; ""</calculatedColumnFormula>
    </tableColumn>
    <tableColumn id="7" xr3:uid="{00000000-0010-0000-0A00-000007000000}" name="Which"/>
    <tableColumn id="8" xr3:uid="{00000000-0010-0000-0A00-000008000000}" name="Sponsor" dataDxfId="121">
      <calculatedColumnFormula>IF(LEFT(Status[[#This Row],[Which]], 1) = "1", Status[[#This Row],[Key]], "")</calculatedColumnFormula>
    </tableColumn>
    <tableColumn id="9" xr3:uid="{00000000-0010-0000-0A00-000009000000}" name="Spouse" dataDxfId="120">
      <calculatedColumnFormula>IF(RIGHT(Status[[#This Row],[Which]], 1) = "2", Status[[#This Row],[Key]], "")</calculatedColumnFormula>
    </tableColumn>
    <tableColumn id="10" xr3:uid="{00000000-0010-0000-0A00-00000A000000}" name="Group" dataDxfId="119"/>
    <tableColumn id="2" xr3:uid="{00000000-0010-0000-0A00-000002000000}" name="Mil?" dataDxfId="118"/>
    <tableColumn id="18" xr3:uid="{DF05C356-D2C3-4A3B-83D0-25D482150BE1}" name="_BAH" dataDxfId="58"/>
    <tableColumn id="17" xr3:uid="{E1461750-6237-4A11-92FF-733FA5633CB0}" name="_BAS" dataDxfId="59"/>
    <tableColumn id="3" xr3:uid="{00000000-0010-0000-0A00-000003000000}" name="Group3" dataDxfId="117"/>
    <tableColumn id="4" xr3:uid="{00000000-0010-0000-0A00-000004000000}" name="S1" dataDxfId="116">
      <calculatedColumnFormula>--ISNUMBER(IFERROR(SEARCH("*", Status[[#This Row],[Sponsor]], 1), ""))</calculatedColumnFormula>
    </tableColumn>
    <tableColumn id="6" xr3:uid="{00000000-0010-0000-0A00-000006000000}" name="S2" dataDxfId="115">
      <calculatedColumnFormula>IF(Status[[#This Row],[S1]] = 1, COUNTIF($M$3:M3, 1), "")</calculatedColumnFormula>
    </tableColumn>
    <tableColumn id="11" xr3:uid="{00000000-0010-0000-0A00-00000B000000}" name="S3" dataDxfId="114">
      <calculatedColumnFormula>IFERROR(INDEX(Status[Sponsor], MATCH(ROWS($N$3:N3) - 1, Status[S2], 0)), "")</calculatedColumnFormula>
    </tableColumn>
    <tableColumn id="12" xr3:uid="{00000000-0010-0000-0A00-00000C000000}" name="T1" dataDxfId="113">
      <calculatedColumnFormula>--ISNUMBER(IFERROR(SEARCH("*", Status[[#This Row],[Spouse]], 1), ""))</calculatedColumnFormula>
    </tableColumn>
    <tableColumn id="13" xr3:uid="{00000000-0010-0000-0A00-00000D000000}" name="T2" dataDxfId="112">
      <calculatedColumnFormula>IF(Status[[#This Row],[T1]] = 1, COUNTIF($P$3:P3, 1), "")</calculatedColumnFormula>
    </tableColumn>
    <tableColumn id="14" xr3:uid="{00000000-0010-0000-0A00-00000E000000}" name="T3" dataDxfId="111">
      <calculatedColumnFormula>IFERROR(INDEX(Status[Spouse], MATCH(ROWS($Q$3:Q3) - 1, Status[T2], 0)), "")</calculatedColumnFormula>
    </tableColumn>
    <tableColumn id="15" xr3:uid="{00000000-0010-0000-0A00-00000F000000}" name="CONSA?" dataDxfId="1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tatusBranch" displayName="StatusBranch" ref="A2:N44" totalsRowShown="0" headerRowDxfId="109">
  <autoFilter ref="A2:N44" xr:uid="{00000000-0009-0000-0100-00000C000000}"/>
  <tableColumns count="14">
    <tableColumn id="1" xr3:uid="{00000000-0010-0000-0B00-000001000000}" name="Order"/>
    <tableColumn id="19" xr3:uid="{00000000-0010-0000-0B00-000013000000}" name="Status"/>
    <tableColumn id="2" xr3:uid="{00000000-0010-0000-0B00-000002000000}" name="Branch"/>
    <tableColumn id="5" xr3:uid="{00000000-0010-0000-0B00-000005000000}" name="Key" dataDxfId="108">
      <calculatedColumnFormula>SUBSTITUTE(SUBSTITUTE(SUBSTITUTE(StatusBranch[[#This Row],[Status]] &amp; "  /  " &amp; StatusBranch[[#This Row],[Branch]] &amp; ";", "  /  ;", ";"), "  /  ;", ";"), ";", "")</calculatedColumnFormula>
    </tableColumn>
    <tableColumn id="7" xr3:uid="{00000000-0010-0000-0B00-000007000000}" name="Which"/>
    <tableColumn id="8" xr3:uid="{00000000-0010-0000-0B00-000008000000}" name="Sponsor" dataDxfId="107">
      <calculatedColumnFormula>IF(LEFT(StatusBranch[[#This Row],[Which]], 1) = "1", StatusBranch[[#This Row],[Key]] &amp; "", "")</calculatedColumnFormula>
    </tableColumn>
    <tableColumn id="9" xr3:uid="{00000000-0010-0000-0B00-000009000000}" name="Spouse" dataDxfId="106">
      <calculatedColumnFormula>IF(RIGHT(StatusBranch[[#This Row],[Which]], 1) = "2", StatusBranch[[#This Row],[Key]] &amp; "", "")</calculatedColumnFormula>
    </tableColumn>
    <tableColumn id="10" xr3:uid="{00000000-0010-0000-0B00-00000A000000}" name="Group" dataDxfId="105"/>
    <tableColumn id="3" xr3:uid="{00000000-0010-0000-0B00-000003000000}" name="S1" dataDxfId="104">
      <calculatedColumnFormula>--ISNUMBER(IFERROR(SEARCH('Calculation Worksheet'!$AV$6, StatusBranch[[#This Row],[Sponsor]], 1), ""))</calculatedColumnFormula>
    </tableColumn>
    <tableColumn id="4" xr3:uid="{00000000-0010-0000-0B00-000004000000}" name="S2" dataDxfId="103">
      <calculatedColumnFormula>IF(StatusBranch[[#This Row],[S1]] = 1, COUNTIF($I$3:I3, 1), "")</calculatedColumnFormula>
    </tableColumn>
    <tableColumn id="6" xr3:uid="{00000000-0010-0000-0B00-000006000000}" name="S3" dataDxfId="102">
      <calculatedColumnFormula>IFERROR(INDEX(StatusBranch[Branch], MATCH(ROWS($J$3:J3), StatusBranch[S2], 0)), "") &amp; ""</calculatedColumnFormula>
    </tableColumn>
    <tableColumn id="11" xr3:uid="{00000000-0010-0000-0B00-00000B000000}" name="T1" dataDxfId="101">
      <calculatedColumnFormula>--ISNUMBER(IFERROR(SEARCH('Calculation Worksheet'!$CG$6, StatusBranch[[#This Row],[Spouse]], 1), ""))</calculatedColumnFormula>
    </tableColumn>
    <tableColumn id="12" xr3:uid="{00000000-0010-0000-0B00-00000C000000}" name="T2" dataDxfId="100">
      <calculatedColumnFormula>IF(StatusBranch[[#This Row],[T1]] = 1, COUNTIF($L$3:L3, 1), "")</calculatedColumnFormula>
    </tableColumn>
    <tableColumn id="13" xr3:uid="{00000000-0010-0000-0B00-00000D000000}" name="T3" dataDxfId="99">
      <calculatedColumnFormula>IFERROR(INDEX(StatusBranch[Branch], MATCH(ROWS($M$3:M3), StatusBranch[T2], 0)), "") &amp; ""</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StatusBranchGrade" displayName="StatusBranchGrade" ref="A3:W569" totalsRowShown="0" headerRowDxfId="98">
  <autoFilter ref="A3:W569" xr:uid="{00000000-0009-0000-0100-000006000000}"/>
  <tableColumns count="23">
    <tableColumn id="1" xr3:uid="{00000000-0010-0000-0C00-000001000000}" name="Order"/>
    <tableColumn id="19" xr3:uid="{00000000-0010-0000-0C00-000013000000}" name="Status"/>
    <tableColumn id="2" xr3:uid="{00000000-0010-0000-0C00-000002000000}" name="Branch"/>
    <tableColumn id="3" xr3:uid="{00000000-0010-0000-0C00-000003000000}" name="Rank"/>
    <tableColumn id="22" xr3:uid="{00000000-0010-0000-0C00-000016000000}" name="BAS" dataDxfId="97">
      <calculatedColumnFormula>IF(StatusBranchGrade[[#This Row],[Status]] = "CYS", "DoD", StatusBranchGrade[[#This Row],[Rank]] &amp; "")</calculatedColumnFormula>
    </tableColumn>
    <tableColumn id="4" xr3:uid="{00000000-0010-0000-0C00-000004000000}" name="Grade" dataDxfId="96"/>
    <tableColumn id="17" xr3:uid="{00000000-0010-0000-0C00-000011000000}" name="Rank/Grade" dataDxfId="95">
      <calculatedColumnFormula>IF(StatusBranchGrade[[#This Row],[Rank]] = StatusBranchGrade[[#This Row],[Grade]], StatusBranchGrade[[#This Row],[Rank]], StatusBranchGrade[[#This Row],[Grade]] &amp; "/" &amp; StatusBranchGrade[[#This Row],[Rank]]) &amp; ""</calculatedColumnFormula>
    </tableColumn>
    <tableColumn id="5" xr3:uid="{00000000-0010-0000-0C00-000005000000}" name="Key" dataDxfId="94">
      <calculatedColumnFormula>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calculatedColumnFormula>
    </tableColumn>
    <tableColumn id="18" xr3:uid="{00000000-0010-0000-0C00-000012000000}" name="Key0" dataDxfId="93">
      <calculatedColumnFormula>SUBSTITUTE(SUBSTITUTE(SUBSTITUTE(StatusBranchGrade[[#This Row],[Status]] &amp; "  /  " &amp; StatusBranchGrade[[#This Row],[Branch]] &amp; ";", "  /  ;", ";"), "  /  ;", ";"), ";", "")</calculatedColumnFormula>
    </tableColumn>
    <tableColumn id="7" xr3:uid="{00000000-0010-0000-0C00-000007000000}" name="Which"/>
    <tableColumn id="8" xr3:uid="{00000000-0010-0000-0C00-000008000000}" name="Sponsor" dataDxfId="92">
      <calculatedColumnFormula>IF(LEFT(StatusBranchGrade[[#This Row],[Which]], 1) = "1", StatusBranchGrade[[#This Row],[Key]], "")</calculatedColumnFormula>
    </tableColumn>
    <tableColumn id="20" xr3:uid="{00000000-0010-0000-0C00-000014000000}" name="Sponsor0" dataDxfId="91">
      <calculatedColumnFormula>IF(LEFT(StatusBranchGrade[[#This Row],[Which]], 1) = "1", StatusBranchGrade[[#This Row],[Key0]], "")</calculatedColumnFormula>
    </tableColumn>
    <tableColumn id="9" xr3:uid="{00000000-0010-0000-0C00-000009000000}" name="Spouse" dataDxfId="90">
      <calculatedColumnFormula>IF(RIGHT(StatusBranchGrade[[#This Row],[Which]], 1) = "2", StatusBranchGrade[[#This Row],[Key]], "")</calculatedColumnFormula>
    </tableColumn>
    <tableColumn id="21" xr3:uid="{00000000-0010-0000-0C00-000015000000}" name="Spouse0" dataDxfId="89">
      <calculatedColumnFormula>IF(RIGHT(StatusBranchGrade[[#This Row],[Which]], 1) = "2", StatusBranchGrade[[#This Row],[Key0]], "")</calculatedColumnFormula>
    </tableColumn>
    <tableColumn id="10" xr3:uid="{00000000-0010-0000-0C00-00000A000000}" name="Group" dataDxfId="88"/>
    <tableColumn id="6" xr3:uid="{00000000-0010-0000-0C00-000006000000}" name="Override" dataDxfId="87"/>
    <tableColumn id="11" xr3:uid="{00000000-0010-0000-0C00-00000B000000}" name="S1" dataDxfId="86">
      <calculatedColumnFormula>--ISNUMBER(IF(StatusBranchGrade[[#This Row],[Sponsor0]] = 'Calculation Worksheet'!$AV$6 &amp; "  /  " &amp; 'Calculation Worksheet'!$AV$7, 1, ""))</calculatedColumnFormula>
    </tableColumn>
    <tableColumn id="12" xr3:uid="{00000000-0010-0000-0C00-00000C000000}" name="S2" dataDxfId="85">
      <calculatedColumnFormula>IF(StatusBranchGrade[[#This Row],[S1]] = 1, COUNTIF($Q$3:Q4, 1), "")</calculatedColumnFormula>
    </tableColumn>
    <tableColumn id="13" xr3:uid="{00000000-0010-0000-0C00-00000D000000}" name="S3" dataDxfId="84">
      <calculatedColumnFormula>IFERROR(INDEX(StatusBranchGrade[Rank/Grade], MATCH(ROWS($R$3:R4)-1, StatusBranchGrade[S2], 0)), "") &amp; ""</calculatedColumnFormula>
    </tableColumn>
    <tableColumn id="14" xr3:uid="{00000000-0010-0000-0C00-00000E000000}" name="T1" dataDxfId="83">
      <calculatedColumnFormula>--ISNUMBER(IF(StatusBranchGrade[[#This Row],[Spouse0]] = 'Calculation Worksheet'!$CG$6 &amp; "  /  " &amp; 'Calculation Worksheet'!$CG$7, 1, ""))</calculatedColumnFormula>
    </tableColumn>
    <tableColumn id="15" xr3:uid="{00000000-0010-0000-0C00-00000F000000}" name="T2" dataDxfId="82">
      <calculatedColumnFormula>IF(StatusBranchGrade[[#This Row],[T1]] = 1, COUNTIF($T$3:T4, 1), "")</calculatedColumnFormula>
    </tableColumn>
    <tableColumn id="16" xr3:uid="{00000000-0010-0000-0C00-000010000000}" name="T3" dataDxfId="81">
      <calculatedColumnFormula>IFERROR(INDEX(StatusBranchGrade[Rank/Grade], MATCH(ROWS($U$3:U4)-1, StatusBranchGrade[T2], 0)), "") &amp; ""</calculatedColumnFormula>
    </tableColumn>
    <tableColumn id="23" xr3:uid="{00000000-0010-0000-0C00-000017000000}" name="T4" dataDxfId="8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SpouseValidation" displayName="SpouseValidation" ref="K2:U18" totalsRowShown="0" headerRowDxfId="79">
  <autoFilter ref="K2:U18" xr:uid="{00000000-0009-0000-0100-000009000000}"/>
  <sortState xmlns:xlrd2="http://schemas.microsoft.com/office/spreadsheetml/2017/richdata2" ref="K3:U18">
    <sortCondition ref="K2:K18"/>
  </sortState>
  <tableColumns count="11">
    <tableColumn id="1" xr3:uid="{00000000-0010-0000-0D00-000001000000}" name="Order"/>
    <tableColumn id="19" xr3:uid="{00000000-0010-0000-0D00-000013000000}" name="Status"/>
    <tableColumn id="4" xr3:uid="{00000000-0010-0000-0D00-000004000000}" name="Single" dataDxfId="78"/>
    <tableColumn id="3" xr3:uid="{00000000-0010-0000-0D00-000003000000}" name="Dual" dataDxfId="77"/>
    <tableColumn id="13" xr3:uid="{00000000-0010-0000-0D00-00000D000000}" name="Z-EMPFT" dataDxfId="76"/>
    <tableColumn id="14" xr3:uid="{00000000-0010-0000-0D00-00000E000000}" name="Z-EMPPT" dataDxfId="75"/>
    <tableColumn id="15" xr3:uid="{00000000-0010-0000-0D00-00000F000000}" name="Z-UNEMSK" dataDxfId="74"/>
    <tableColumn id="16" xr3:uid="{00000000-0010-0000-0D00-000010000000}" name="Z-UNEMNS" dataDxfId="73"/>
    <tableColumn id="17" xr3:uid="{00000000-0010-0000-0D00-000011000000}" name="Z-STUFT" dataDxfId="72"/>
    <tableColumn id="18" xr3:uid="{00000000-0010-0000-0D00-000012000000}" name="Z-STUPT" dataDxfId="71"/>
    <tableColumn id="2" xr3:uid="{00000000-0010-0000-0D00-000002000000}" name="Z-EMPFT2" dataDxfId="7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SponsorValidation" displayName="SponsorValidation" ref="A2:I18" totalsRowShown="0" headerRowDxfId="69">
  <autoFilter ref="A2:I18" xr:uid="{00000000-0009-0000-0100-00000F000000}"/>
  <sortState xmlns:xlrd2="http://schemas.microsoft.com/office/spreadsheetml/2017/richdata2" ref="A3:I18">
    <sortCondition ref="A2:A18"/>
  </sortState>
  <tableColumns count="9">
    <tableColumn id="1" xr3:uid="{00000000-0010-0000-0E00-000001000000}" name="Order"/>
    <tableColumn id="19" xr3:uid="{00000000-0010-0000-0E00-000013000000}" name="Status"/>
    <tableColumn id="13" xr3:uid="{00000000-0010-0000-0E00-00000D000000}" name="Z-EMPFT" dataDxfId="68"/>
    <tableColumn id="14" xr3:uid="{00000000-0010-0000-0E00-00000E000000}" name="Z-EMPPT" dataDxfId="67"/>
    <tableColumn id="15" xr3:uid="{00000000-0010-0000-0E00-00000F000000}" name="Z-UNEMSK" dataDxfId="66"/>
    <tableColumn id="16" xr3:uid="{00000000-0010-0000-0E00-000010000000}" name="Z-UNEMNS" dataDxfId="65"/>
    <tableColumn id="17" xr3:uid="{00000000-0010-0000-0E00-000011000000}" name="Z-STUFT" dataDxfId="64"/>
    <tableColumn id="18" xr3:uid="{00000000-0010-0000-0E00-000012000000}" name="Z-STUPT" dataDxfId="63"/>
    <tableColumn id="2" xr3:uid="{00000000-0010-0000-0E00-000002000000}" name="Z-EMPFT2" dataDxfId="6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Rank" displayName="Rank" ref="A39:AD68" totalsRowShown="0">
  <autoFilter ref="A39:AD68" xr:uid="{00000000-0009-0000-0100-00000D000000}"/>
  <tableColumns count="30">
    <tableColumn id="1" xr3:uid="{00000000-0010-0000-0F00-000001000000}" name="Sponsor"/>
    <tableColumn id="2" xr3:uid="{00000000-0010-0000-0F00-000002000000}" name="E-1"/>
    <tableColumn id="3" xr3:uid="{00000000-0010-0000-0F00-000003000000}" name="E-2"/>
    <tableColumn id="4" xr3:uid="{00000000-0010-0000-0F00-000004000000}" name="E-3"/>
    <tableColumn id="5" xr3:uid="{00000000-0010-0000-0F00-000005000000}" name="E-4"/>
    <tableColumn id="6" xr3:uid="{00000000-0010-0000-0F00-000006000000}" name="E-5"/>
    <tableColumn id="7" xr3:uid="{00000000-0010-0000-0F00-000007000000}" name="E-6"/>
    <tableColumn id="8" xr3:uid="{00000000-0010-0000-0F00-000008000000}" name="E-7"/>
    <tableColumn id="9" xr3:uid="{00000000-0010-0000-0F00-000009000000}" name="E-8"/>
    <tableColumn id="10" xr3:uid="{00000000-0010-0000-0F00-00000A000000}" name="E-9"/>
    <tableColumn id="11" xr3:uid="{00000000-0010-0000-0F00-00000B000000}" name="O-1"/>
    <tableColumn id="12" xr3:uid="{00000000-0010-0000-0F00-00000C000000}" name="WO1"/>
    <tableColumn id="40" xr3:uid="{00000000-0010-0000-0F00-000028000000}" name="W-1"/>
    <tableColumn id="13" xr3:uid="{00000000-0010-0000-0F00-00000D000000}" name="O-2"/>
    <tableColumn id="32" xr3:uid="{00000000-0010-0000-0F00-000020000000}" name="W-2"/>
    <tableColumn id="35" xr3:uid="{00000000-0010-0000-0F00-000023000000}" name="CW2"/>
    <tableColumn id="14" xr3:uid="{00000000-0010-0000-0F00-00000E000000}" name="O-3"/>
    <tableColumn id="33" xr3:uid="{00000000-0010-0000-0F00-000021000000}" name="W-3"/>
    <tableColumn id="36" xr3:uid="{00000000-0010-0000-0F00-000024000000}" name="CW3"/>
    <tableColumn id="15" xr3:uid="{00000000-0010-0000-0F00-00000F000000}" name="O-4"/>
    <tableColumn id="34" xr3:uid="{00000000-0010-0000-0F00-000022000000}" name="W-4"/>
    <tableColumn id="37" xr3:uid="{00000000-0010-0000-0F00-000025000000}" name="CW4"/>
    <tableColumn id="16" xr3:uid="{00000000-0010-0000-0F00-000010000000}" name="O-5"/>
    <tableColumn id="39" xr3:uid="{00000000-0010-0000-0F00-000027000000}" name="CW5"/>
    <tableColumn id="38" xr3:uid="{00000000-0010-0000-0F00-000026000000}" name="MW5"/>
    <tableColumn id="17" xr3:uid="{00000000-0010-0000-0F00-000011000000}" name="O-6"/>
    <tableColumn id="18" xr3:uid="{00000000-0010-0000-0F00-000012000000}" name="O-7"/>
    <tableColumn id="19" xr3:uid="{00000000-0010-0000-0F00-000013000000}" name="O-8"/>
    <tableColumn id="20" xr3:uid="{00000000-0010-0000-0F00-000014000000}" name="O-9"/>
    <tableColumn id="31" xr3:uid="{00000000-0010-0000-0F00-00001F000000}" name="O-10"/>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Disallow" displayName="Disallow" ref="A3:A36" totalsRowShown="0" tableBorderDxfId="61">
  <autoFilter ref="A3:A36" xr:uid="{00000000-0009-0000-0100-00000E000000}"/>
  <tableColumns count="1">
    <tableColumn id="1" xr3:uid="{00000000-0010-0000-1000-000001000000}" name="Sponsor"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MinWage" displayName="MinWage" ref="A14:C99" totalsRowShown="0">
  <autoFilter ref="A14:C99" xr:uid="{00000000-0009-0000-0100-000010000000}"/>
  <sortState xmlns:xlrd2="http://schemas.microsoft.com/office/spreadsheetml/2017/richdata2" ref="A5:C89">
    <sortCondition ref="A4:A89"/>
  </sortState>
  <tableColumns count="3">
    <tableColumn id="1" xr3:uid="{00000000-0010-0000-0100-000001000000}" name="State"/>
    <tableColumn id="2" xr3:uid="{00000000-0010-0000-0100-000002000000}" name="Minimum wage" dataDxfId="162"/>
    <tableColumn id="3" xr3:uid="{00000000-0010-0000-0100-000003000000}" name="No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le17" displayName="Table17" ref="A10:A11" totalsRowShown="0" dataDxfId="161">
  <autoFilter ref="A10:A11" xr:uid="{00000000-0009-0000-0100-000011000000}"/>
  <tableColumns count="1">
    <tableColumn id="1" xr3:uid="{00000000-0010-0000-0200-000001000000}" name="This State!" dataDxfId="16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AE1:AF22" totalsRowShown="0" headerRowDxfId="159" dataDxfId="158">
  <autoFilter ref="AE1:AF22" xr:uid="{00000000-0009-0000-0100-000001000000}"/>
  <tableColumns count="2">
    <tableColumn id="1" xr3:uid="{00000000-0010-0000-0300-000001000000}" name="Care Type" dataDxfId="157"/>
    <tableColumn id="2" xr3:uid="{00000000-0010-0000-0300-000002000000}" name="Monthly/Weekly rate" dataDxfId="15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FI_Lookup" displayName="TFI_Lookup" ref="S1:Z13" totalsRowShown="0">
  <autoFilter ref="S1:Z13" xr:uid="{00000000-0009-0000-0100-000002000000}"/>
  <sortState xmlns:xlrd2="http://schemas.microsoft.com/office/spreadsheetml/2017/richdata2" ref="S2:Z31">
    <sortCondition ref="U3:U33"/>
  </sortState>
  <tableColumns count="8">
    <tableColumn id="1" xr3:uid="{00000000-0010-0000-0400-000001000000}" name="Start" dataDxfId="155" dataCellStyle="Comma"/>
    <tableColumn id="2" xr3:uid="{00000000-0010-0000-0400-000002000000}" name="End" dataDxfId="154">
      <calculatedColumnFormula>TFI_Lookup[[#This Row],[End0]] + Fee_Override</calculatedColumnFormula>
    </tableColumn>
    <tableColumn id="5" xr3:uid="{00000000-0010-0000-0400-000005000000}" name="End0" dataDxfId="153"/>
    <tableColumn id="3" xr3:uid="{00000000-0010-0000-0400-000003000000}" name="Low" dataDxfId="152">
      <calculatedColumnFormula>IFERROR(MAX(0.01, MID(SUBSTITUTE(Z2, "$", ""), 1, FIND("-", SUBSTITUTE(SUBSTITUTE(SUBSTITUTE(Z2, "$", ""), "+", "-"), "–", "-")) - 1) + 0), "")</calculatedColumnFormula>
    </tableColumn>
    <tableColumn id="4" xr3:uid="{00000000-0010-0000-0400-000004000000}" name="High" dataDxfId="151">
      <calculatedColumnFormula>IF(TFI_Lookup[[#This Row],[Income range]] = "", "", IFERROR(MID(SUBSTITUTE(Z2, "$", ""), FIND("-", SUBSTITUTE(SUBSTITUTE(Z2, "$", ""), "–", "-")) + 1, 999), 9999999) + 0 + 0.99)</calculatedColumnFormula>
    </tableColumn>
    <tableColumn id="6" xr3:uid="{00000000-0010-0000-0400-000006000000}" name="CAT" dataDxfId="150"/>
    <tableColumn id="9" xr3:uid="{00000000-0010-0000-0400-000009000000}" name="CATn" dataDxfId="149">
      <calculatedColumnFormula>IF(TFI_Lookup[[#This Row],[CAT]] = "SA", CONSA, "CAT" &amp; RIGHT("0" &amp; TFI_Lookup[[#This Row],[CAT]], 2))</calculatedColumnFormula>
    </tableColumn>
    <tableColumn id="8" xr3:uid="{00000000-0010-0000-0400-000008000000}" name="Income range" dataDxfId="148"/>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BAH" displayName="BAH" ref="A1:H66" totalsRowShown="0" headerRowDxfId="147">
  <autoFilter ref="A1:H66" xr:uid="{00000000-0009-0000-0100-000003000000}"/>
  <sortState xmlns:xlrd2="http://schemas.microsoft.com/office/spreadsheetml/2017/richdata2" ref="A2:F129">
    <sortCondition ref="A1:A129"/>
  </sortState>
  <tableColumns count="8">
    <tableColumn id="1" xr3:uid="{00000000-0010-0000-0500-000001000000}" name="Year"/>
    <tableColumn id="2" xr3:uid="{00000000-0010-0000-0500-000002000000}" name="Rank" dataDxfId="146"/>
    <tableColumn id="3" xr3:uid="{00000000-0010-0000-0500-000003000000}" name="BAH RC/T w/dependents" dataDxfId="145"/>
    <tableColumn id="4" xr3:uid="{00000000-0010-0000-0500-000004000000}" name="BAS" dataDxfId="144" dataCellStyle="Currency"/>
    <tableColumn id="5" xr3:uid="{00000000-0010-0000-0500-000005000000}" name="#" dataDxfId="143"/>
    <tableColumn id="6" xr3:uid="{00000000-0010-0000-0500-000006000000}" name="Lookup" dataDxfId="142">
      <calculatedColumnFormula>BAH[[#This Row],[Year]] &amp; BAH[[#This Row],[Rank]]</calculatedColumnFormula>
    </tableColumn>
    <tableColumn id="7" xr3:uid="{00000000-0010-0000-0500-000007000000}" name="Type"/>
    <tableColumn id="8" xr3:uid="{00000000-0010-0000-0500-000008000000}" name="Order" dataDxfId="14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MCC" displayName="MCC" ref="AI1:AJ19" totalsRowShown="0" headerRowDxfId="140">
  <autoFilter ref="AI1:AJ19" xr:uid="{00000000-0009-0000-0100-000004000000}"/>
  <tableColumns count="2">
    <tableColumn id="1" xr3:uid="{00000000-0010-0000-0600-000001000000}" name="MCC"/>
    <tableColumn id="2" xr3:uid="{00000000-0010-0000-0600-000002000000}" name="Priority"/>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YearsOfService" displayName="YearsOfService" ref="AL1:AL58" totalsRowShown="0" headerRowDxfId="139" dataDxfId="138">
  <autoFilter ref="AL1:AL58" xr:uid="{00000000-0009-0000-0100-000005000000}"/>
  <tableColumns count="1">
    <tableColumn id="1" xr3:uid="{00000000-0010-0000-0700-000001000000}" name="Years of service" dataDxfId="13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JobDetails" displayName="JobDetails" ref="AO1:AP9" totalsRowShown="0" dataDxfId="136" tableBorderDxfId="135">
  <autoFilter ref="AO1:AP9" xr:uid="{00000000-0009-0000-0100-000008000000}"/>
  <tableColumns count="2">
    <tableColumn id="1" xr3:uid="{00000000-0010-0000-0800-000001000000}" name="Job details" dataDxfId="134"/>
    <tableColumn id="2" xr3:uid="{00000000-0010-0000-0800-000002000000}" name="Code" dataDxfId="13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5.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4"/>
  <sheetViews>
    <sheetView tabSelected="1" zoomScaleNormal="100" workbookViewId="0">
      <selection sqref="A1:A3"/>
    </sheetView>
  </sheetViews>
  <sheetFormatPr defaultColWidth="8.85546875" defaultRowHeight="15.75" x14ac:dyDescent="0.25"/>
  <cols>
    <col min="1" max="1" width="107.85546875" style="3" customWidth="1"/>
    <col min="2" max="16384" width="8.85546875" style="3"/>
  </cols>
  <sheetData>
    <row r="1" spans="1:1" x14ac:dyDescent="0.25">
      <c r="A1" s="136" t="s">
        <v>25</v>
      </c>
    </row>
    <row r="2" spans="1:1" x14ac:dyDescent="0.25">
      <c r="A2" s="137"/>
    </row>
    <row r="3" spans="1:1" ht="16.5" thickBot="1" x14ac:dyDescent="0.3">
      <c r="A3" s="138"/>
    </row>
    <row r="4" spans="1:1" ht="95.25" thickBot="1" x14ac:dyDescent="0.3">
      <c r="A4" s="22" t="str">
        <f ca="1">"Light green: Data entry
Dark green (in Family Information): This is the youngest child
Blue: Sponsor/spouse sign &amp; date here
Orange: Verification signature &amp; date
Yellow: " &amp; "calculations / automatic. Note that ""Prepared By"" assumes that the preparer is logged on with own name at the time of printing. If not, put your own name in cell " &amp; SUBSTITUTE(MID(CELL("address", 'Calculation Worksheet'!BL37), FIND("!", CELL("address", 'Calculation Worksheet'!BL37))+1, 9999), "$", "") &amp; " to override."</f>
        <v>Light green: Data entry
Dark green (in Family Information): This is the youngest child
Blue: Sponsor/spouse sign &amp; date here
Orange: Verification signature &amp; date
Yellow: calculations / automatic. Note that "Prepared By" assumes that the preparer is logged on with own name at the time of printing. If not, put your own name in cell BL37 to override.</v>
      </c>
    </row>
    <row r="5" spans="1:1" ht="48" thickBot="1" x14ac:dyDescent="0.3">
      <c r="A5" s="23" t="s">
        <v>672</v>
      </c>
    </row>
    <row r="6" spans="1:1" ht="32.25" thickBot="1" x14ac:dyDescent="0.3">
      <c r="A6" s="23" t="s">
        <v>45</v>
      </c>
    </row>
    <row r="7" spans="1:1" ht="32.25" thickBot="1" x14ac:dyDescent="0.3">
      <c r="A7" s="23" t="s">
        <v>64</v>
      </c>
    </row>
    <row r="8" spans="1:1" ht="221.25" thickBot="1" x14ac:dyDescent="0.3">
      <c r="A8" s="23" t="s">
        <v>673</v>
      </c>
    </row>
    <row r="9" spans="1:1" ht="48" thickBot="1" x14ac:dyDescent="0.3">
      <c r="A9" s="23" t="s">
        <v>285</v>
      </c>
    </row>
    <row r="10" spans="1:1" ht="142.5" thickBot="1" x14ac:dyDescent="0.3">
      <c r="A10" s="24" t="s">
        <v>132</v>
      </c>
    </row>
    <row r="11" spans="1:1" ht="95.25" thickBot="1" x14ac:dyDescent="0.3">
      <c r="A11" s="23" t="s">
        <v>127</v>
      </c>
    </row>
    <row r="12" spans="1:1" ht="48" thickBot="1" x14ac:dyDescent="0.3">
      <c r="A12" s="23" t="s">
        <v>128</v>
      </c>
    </row>
    <row r="13" spans="1:1" ht="63.75" thickBot="1" x14ac:dyDescent="0.3">
      <c r="A13" s="23" t="s">
        <v>551</v>
      </c>
    </row>
    <row r="14" spans="1:1" ht="79.5" thickBot="1" x14ac:dyDescent="0.3">
      <c r="A14" s="23" t="s">
        <v>133</v>
      </c>
    </row>
    <row r="18" spans="1:1" x14ac:dyDescent="0.25">
      <c r="A18" s="34" t="s">
        <v>110</v>
      </c>
    </row>
    <row r="19" spans="1:1" ht="63" x14ac:dyDescent="0.25">
      <c r="A19" s="35" t="str">
        <f ca="1">"If the new fee policy goes into effect later than intended, you can override the built-in end date by entering the number of extra days in cell " &amp; SUBSTITUTE(MID(CELL("address", 'Calculation Worksheet'!I37), FIND("!", CELL("address", 'Calculation Worksheet'!I37))+1, 9999), "$", "") &amp;" of the Calculation Worksheet. So, if the fees go into effect Nov 1 instead of Oct 1, enter 31 in this cell, which is the number of days from Oct 1 to Nov 1. This should only be done when instructed by IMCOM."</f>
        <v>If the new fee policy goes into effect later than intended, you can override the built-in end date by entering the number of extra days in cell I37 of the Calculation Worksheet. So, if the fees go into effect Nov 1 instead of Oct 1, enter 31 in this cell, which is the number of days from Oct 1 to Nov 1. This should only be done when instructed by IMCOM.</v>
      </c>
    </row>
    <row r="20" spans="1:1" ht="63" x14ac:dyDescent="0.25">
      <c r="A20" s="35" t="str">
        <f ca="1">"If you need to calculate fees for a different date (such as when a patron says their TFI was calculated wrong, or you're testing a new version with future rates), enter the override date in cell " &amp; SUBSTITUTE(MID(CELL("address", 'Calculation Worksheet'!AV37), FIND("!", CELL("address", 'Calculation Worksheet'!AV37))+1, 9999), "$", "") &amp;" of the Calculation Worksheet. Note that the adjustments for Space Available (CONSA), etc., may not be correct; check the policy for the year in question."</f>
        <v>If you need to calculate fees for a different date (such as when a patron says their TFI was calculated wrong, or you're testing a new version with future rates), enter the override date in cell AV37 of the Calculation Worksheet. Note that the adjustments for Space Available (CONSA), etc., may not be correct; check the policy for the year in question.</v>
      </c>
    </row>
    <row r="21" spans="1:1" ht="47.25" x14ac:dyDescent="0.25">
      <c r="A21" s="44" t="str">
        <f ca="1">"Cell " &amp; SUBSTITUTE(MID(CELL("address", 'Calculation Worksheet'!BL37), FIND("!", CELL("address", 'Calculation Worksheet'!BL37))+1, 9999), "$", "") &amp; " overrides the ""Prepared By"" name. This should only be used if the name is not picked up at all, or is picked up incorrectly. First, double-check that you're logged on under your own name; using someone else's account is a no-no!"</f>
        <v>Cell BL37 overrides the "Prepared By" name. This should only be used if the name is not picked up at all, or is picked up incorrectly. First, double-check that you're logged on under your own name; using someone else's account is a no-no!</v>
      </c>
    </row>
    <row r="22" spans="1:1" ht="31.5" x14ac:dyDescent="0.25">
      <c r="A22" s="45" t="str">
        <f ca="1">"Cell " &amp; SUBSTITUTE(MID(CELL("address", 'Calculation Worksheet'!CG37), FIND("!", CELL("address", 'Calculation Worksheet'!CG37))+1, 9999), "$", "") &amp; " overrides the preparation date.  This should never be needed, but is included just in case. It should always be today's date. This does NOT affect fee lookups."</f>
        <v>Cell CG37 overrides the preparation date.  This should never be needed, but is included just in case. It should always be today's date. This does NOT affect fee lookups.</v>
      </c>
    </row>
    <row r="23" spans="1:1" ht="31.5" x14ac:dyDescent="0.25">
      <c r="A23" s="45" t="str">
        <f ca="1">"Cell " &amp; SUBSTITUTE(MID(CELL("address", 'Calculation Worksheet'!CW37), FIND("!", CELL("address", 'Calculation Worksheet'!CW37))+1, 9999), "$", "") &amp; " provides a printed verification date. Is there a reason to need to do this? It should normally be hand-written."</f>
        <v>Cell CW37 provides a printed verification date. Is there a reason to need to do this? It should normally be hand-written.</v>
      </c>
    </row>
    <row r="24" spans="1:1" ht="31.5" x14ac:dyDescent="0.25">
      <c r="A24" s="45" t="str">
        <f ca="1">"Cell " &amp; SUBSTITUTE(MID(CELL("address", 'Calculation Worksheet'!DR37), FIND("!", CELL("address", 'Calculation Worksheet'!DR37))+1, 9999), "$", "") &amp; " overrides the CATegory on the DD2652. This should only be used if the TFI calculator does not produce the right result for some reason, please report this to Theresa Sanders if you see this happen."</f>
        <v>Cell DR37 overrides the CATegory on the DD2652. This should only be used if the TFI calculator does not produce the right result for some reason, please report this to Theresa Sanders if you see this happen.</v>
      </c>
    </row>
  </sheetData>
  <sheetProtection algorithmName="SHA-512" hashValue="c5jR4jXrbigmqNCzFio1qStDMI6lc26//A+Bm1S7imtshTWYyuwZ0b1e7Yr6oA2FbmzUOSs6EeeecWnuMRd1Pg==" saltValue="VVv7WhZVL7SiSOKhXQPOCQ==" spinCount="100000" sheet="1" objects="1" scenarios="1"/>
  <mergeCells count="1">
    <mergeCell ref="A1:A3"/>
  </mergeCells>
  <pageMargins left="0.2" right="0.2"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1"/>
  </sheetPr>
  <dimension ref="A1:U18"/>
  <sheetViews>
    <sheetView zoomScale="115" zoomScaleNormal="115" workbookViewId="0">
      <selection activeCell="B12" sqref="B12"/>
    </sheetView>
  </sheetViews>
  <sheetFormatPr defaultRowHeight="15" x14ac:dyDescent="0.25"/>
  <cols>
    <col min="1" max="1" width="8.42578125" bestFit="1" customWidth="1"/>
    <col min="2" max="2" width="31.140625" bestFit="1" customWidth="1"/>
    <col min="3" max="3" width="11" bestFit="1" customWidth="1"/>
    <col min="4" max="5" width="11.140625" bestFit="1" customWidth="1"/>
    <col min="6" max="6" width="11.42578125" bestFit="1" customWidth="1"/>
    <col min="7" max="7" width="10.42578125" bestFit="1" customWidth="1"/>
    <col min="8" max="8" width="10.5703125" bestFit="1" customWidth="1"/>
    <col min="9" max="9" width="12" bestFit="1" customWidth="1"/>
    <col min="12" max="12" width="32.140625" bestFit="1" customWidth="1"/>
    <col min="13" max="21" width="11.140625" customWidth="1"/>
  </cols>
  <sheetData>
    <row r="1" spans="1:21" x14ac:dyDescent="0.25">
      <c r="A1" t="s">
        <v>9</v>
      </c>
      <c r="K1" t="s">
        <v>173</v>
      </c>
    </row>
    <row r="2" spans="1:21" x14ac:dyDescent="0.25">
      <c r="A2" s="73" t="s">
        <v>308</v>
      </c>
      <c r="B2" s="73" t="s">
        <v>168</v>
      </c>
      <c r="C2" s="73" t="s">
        <v>223</v>
      </c>
      <c r="D2" s="73" t="s">
        <v>222</v>
      </c>
      <c r="E2" s="73" t="s">
        <v>224</v>
      </c>
      <c r="F2" s="73" t="s">
        <v>225</v>
      </c>
      <c r="G2" s="73" t="s">
        <v>226</v>
      </c>
      <c r="H2" s="73" t="s">
        <v>227</v>
      </c>
      <c r="I2" s="73" t="s">
        <v>338</v>
      </c>
      <c r="K2" s="73" t="s">
        <v>308</v>
      </c>
      <c r="L2" s="73" t="s">
        <v>168</v>
      </c>
      <c r="M2" s="73" t="s">
        <v>303</v>
      </c>
      <c r="N2" s="73" t="s">
        <v>304</v>
      </c>
      <c r="O2" s="73" t="s">
        <v>223</v>
      </c>
      <c r="P2" s="73" t="s">
        <v>222</v>
      </c>
      <c r="Q2" s="73" t="s">
        <v>224</v>
      </c>
      <c r="R2" s="73" t="s">
        <v>225</v>
      </c>
      <c r="S2" s="73" t="s">
        <v>226</v>
      </c>
      <c r="T2" s="73" t="s">
        <v>227</v>
      </c>
      <c r="U2" s="73" t="s">
        <v>338</v>
      </c>
    </row>
    <row r="3" spans="1:21" x14ac:dyDescent="0.25">
      <c r="A3">
        <v>1</v>
      </c>
      <c r="C3" s="63"/>
      <c r="D3" s="63"/>
      <c r="E3" s="63"/>
      <c r="F3" s="63"/>
      <c r="G3" s="63"/>
      <c r="H3" s="63"/>
      <c r="I3" s="17"/>
      <c r="K3">
        <v>1</v>
      </c>
      <c r="M3" s="63"/>
      <c r="N3" s="63"/>
      <c r="O3" s="63"/>
      <c r="P3" s="63"/>
      <c r="Q3" s="63"/>
      <c r="R3" s="63"/>
      <c r="S3" s="63"/>
      <c r="T3" s="63"/>
      <c r="U3" s="17"/>
    </row>
    <row r="4" spans="1:21" x14ac:dyDescent="0.25">
      <c r="A4">
        <v>2</v>
      </c>
      <c r="B4" t="s">
        <v>388</v>
      </c>
      <c r="C4" s="63"/>
      <c r="D4" s="63"/>
      <c r="E4" s="63"/>
      <c r="F4" s="63"/>
      <c r="G4" s="63"/>
      <c r="H4" s="63"/>
      <c r="I4" s="17"/>
      <c r="K4">
        <v>2</v>
      </c>
      <c r="L4" t="s">
        <v>388</v>
      </c>
      <c r="M4" s="63"/>
      <c r="N4" s="63"/>
      <c r="O4" s="63"/>
      <c r="P4" s="63"/>
      <c r="Q4" s="63"/>
      <c r="R4" s="63"/>
      <c r="S4" s="63"/>
      <c r="T4" s="63"/>
      <c r="U4" s="17"/>
    </row>
    <row r="5" spans="1:21" x14ac:dyDescent="0.25">
      <c r="A5">
        <v>3</v>
      </c>
      <c r="B5" t="s">
        <v>186</v>
      </c>
      <c r="C5" s="63" t="s">
        <v>307</v>
      </c>
      <c r="D5" s="63" t="s">
        <v>307</v>
      </c>
      <c r="E5" s="63"/>
      <c r="F5" s="63"/>
      <c r="G5" s="63"/>
      <c r="H5" s="63"/>
      <c r="I5" s="63" t="s">
        <v>307</v>
      </c>
      <c r="K5">
        <v>3</v>
      </c>
      <c r="L5" t="s">
        <v>186</v>
      </c>
      <c r="M5" s="63" t="s">
        <v>307</v>
      </c>
      <c r="N5" s="63" t="s">
        <v>307</v>
      </c>
      <c r="O5" s="63" t="s">
        <v>307</v>
      </c>
      <c r="P5" s="63" t="s">
        <v>307</v>
      </c>
      <c r="Q5" s="63"/>
      <c r="R5" s="63"/>
      <c r="S5" s="63"/>
      <c r="T5" s="63"/>
      <c r="U5" s="17" t="s">
        <v>307</v>
      </c>
    </row>
    <row r="6" spans="1:21" x14ac:dyDescent="0.25">
      <c r="A6">
        <v>4</v>
      </c>
      <c r="B6" t="s">
        <v>339</v>
      </c>
      <c r="C6" s="63" t="s">
        <v>307</v>
      </c>
      <c r="D6" s="17"/>
      <c r="E6" s="17"/>
      <c r="F6" s="17"/>
      <c r="G6" s="17"/>
      <c r="H6" s="17"/>
      <c r="I6" s="17"/>
      <c r="K6">
        <v>4</v>
      </c>
      <c r="L6" t="s">
        <v>339</v>
      </c>
      <c r="M6" s="63" t="s">
        <v>307</v>
      </c>
      <c r="N6" s="63" t="s">
        <v>307</v>
      </c>
      <c r="O6" s="63" t="s">
        <v>307</v>
      </c>
      <c r="P6" s="17"/>
      <c r="Q6" s="17"/>
      <c r="R6" s="17"/>
      <c r="S6" s="17"/>
      <c r="T6" s="17"/>
      <c r="U6" s="17"/>
    </row>
    <row r="7" spans="1:21" x14ac:dyDescent="0.25">
      <c r="A7">
        <v>5</v>
      </c>
      <c r="B7" t="s">
        <v>216</v>
      </c>
      <c r="C7" s="63" t="s">
        <v>307</v>
      </c>
      <c r="D7" s="17"/>
      <c r="E7" s="17"/>
      <c r="F7" s="17"/>
      <c r="G7" s="17"/>
      <c r="H7" s="17"/>
      <c r="I7" s="17"/>
      <c r="K7">
        <v>5</v>
      </c>
      <c r="L7" t="s">
        <v>216</v>
      </c>
      <c r="M7" s="63" t="s">
        <v>307</v>
      </c>
      <c r="N7" s="63" t="s">
        <v>307</v>
      </c>
      <c r="O7" s="63" t="s">
        <v>307</v>
      </c>
      <c r="P7" s="17"/>
      <c r="Q7" s="17"/>
      <c r="R7" s="17"/>
      <c r="S7" s="17"/>
      <c r="T7" s="17"/>
      <c r="U7" s="17"/>
    </row>
    <row r="8" spans="1:21" x14ac:dyDescent="0.25">
      <c r="A8">
        <v>6</v>
      </c>
      <c r="B8" t="s">
        <v>390</v>
      </c>
      <c r="C8" s="63" t="s">
        <v>307</v>
      </c>
      <c r="D8" s="17"/>
      <c r="E8" s="17"/>
      <c r="F8" s="17"/>
      <c r="G8" s="17"/>
      <c r="H8" s="17"/>
      <c r="I8" s="17"/>
      <c r="K8">
        <v>6</v>
      </c>
      <c r="L8" t="s">
        <v>390</v>
      </c>
      <c r="M8" s="63" t="s">
        <v>307</v>
      </c>
      <c r="N8" s="63" t="s">
        <v>307</v>
      </c>
      <c r="O8" s="63" t="s">
        <v>307</v>
      </c>
      <c r="P8" s="17"/>
      <c r="Q8" s="17"/>
      <c r="R8" s="17"/>
      <c r="S8" s="17"/>
      <c r="T8" s="17"/>
      <c r="U8" s="17"/>
    </row>
    <row r="9" spans="1:21" x14ac:dyDescent="0.25">
      <c r="A9">
        <v>6</v>
      </c>
      <c r="B9" t="s">
        <v>218</v>
      </c>
      <c r="C9" s="63" t="s">
        <v>307</v>
      </c>
      <c r="D9" s="17"/>
      <c r="E9" s="17"/>
      <c r="F9" s="17"/>
      <c r="G9" s="17"/>
      <c r="H9" s="17"/>
      <c r="I9" s="17"/>
      <c r="K9">
        <v>6</v>
      </c>
      <c r="L9" t="s">
        <v>218</v>
      </c>
      <c r="M9" s="63" t="s">
        <v>307</v>
      </c>
      <c r="N9" s="63" t="s">
        <v>307</v>
      </c>
      <c r="O9" s="63" t="s">
        <v>307</v>
      </c>
      <c r="P9" s="17"/>
      <c r="Q9" s="17"/>
      <c r="R9" s="17"/>
      <c r="S9" s="17"/>
      <c r="T9" s="17"/>
      <c r="U9" s="17"/>
    </row>
    <row r="10" spans="1:21" x14ac:dyDescent="0.25">
      <c r="A10">
        <v>7</v>
      </c>
      <c r="B10" t="s">
        <v>20</v>
      </c>
      <c r="C10" s="63" t="s">
        <v>307</v>
      </c>
      <c r="D10" s="63" t="s">
        <v>307</v>
      </c>
      <c r="E10" s="17"/>
      <c r="F10" s="17"/>
      <c r="G10" s="17"/>
      <c r="H10" s="17"/>
      <c r="I10" s="63" t="s">
        <v>307</v>
      </c>
      <c r="K10">
        <v>7</v>
      </c>
      <c r="L10" t="s">
        <v>20</v>
      </c>
      <c r="M10" s="63" t="s">
        <v>307</v>
      </c>
      <c r="N10" s="63" t="s">
        <v>307</v>
      </c>
      <c r="O10" s="63" t="s">
        <v>307</v>
      </c>
      <c r="P10" s="63" t="s">
        <v>307</v>
      </c>
      <c r="Q10" s="17"/>
      <c r="R10" s="17"/>
      <c r="S10" s="17"/>
      <c r="T10" s="17"/>
      <c r="U10" s="17" t="s">
        <v>307</v>
      </c>
    </row>
    <row r="11" spans="1:21" x14ac:dyDescent="0.25">
      <c r="A11">
        <v>8</v>
      </c>
      <c r="B11" t="s">
        <v>220</v>
      </c>
      <c r="C11" s="17" t="s">
        <v>307</v>
      </c>
      <c r="D11" s="17" t="s">
        <v>307</v>
      </c>
      <c r="E11" s="17" t="s">
        <v>307</v>
      </c>
      <c r="F11" s="17" t="s">
        <v>307</v>
      </c>
      <c r="G11" s="17" t="s">
        <v>307</v>
      </c>
      <c r="H11" s="17" t="s">
        <v>307</v>
      </c>
      <c r="I11" s="17" t="s">
        <v>307</v>
      </c>
      <c r="K11">
        <v>8</v>
      </c>
      <c r="L11" t="s">
        <v>220</v>
      </c>
      <c r="M11" s="17"/>
      <c r="N11" s="17"/>
      <c r="O11" s="17"/>
      <c r="P11" s="17"/>
      <c r="Q11" s="17"/>
      <c r="R11" s="17"/>
      <c r="S11" s="17"/>
      <c r="T11" s="17"/>
      <c r="U11" s="17"/>
    </row>
    <row r="12" spans="1:21" x14ac:dyDescent="0.25">
      <c r="A12">
        <v>9</v>
      </c>
      <c r="B12" t="s">
        <v>219</v>
      </c>
      <c r="C12" s="63" t="s">
        <v>307</v>
      </c>
      <c r="D12" s="63" t="s">
        <v>307</v>
      </c>
      <c r="E12" s="17"/>
      <c r="F12" s="17"/>
      <c r="G12" s="17"/>
      <c r="H12" s="17"/>
      <c r="I12" s="63" t="s">
        <v>307</v>
      </c>
      <c r="K12">
        <v>9</v>
      </c>
      <c r="L12" t="s">
        <v>219</v>
      </c>
      <c r="M12" s="63" t="s">
        <v>307</v>
      </c>
      <c r="N12" s="63" t="s">
        <v>307</v>
      </c>
      <c r="O12" s="63" t="s">
        <v>307</v>
      </c>
      <c r="P12" s="63" t="s">
        <v>307</v>
      </c>
      <c r="Q12" s="17"/>
      <c r="R12" s="17"/>
      <c r="S12" s="17"/>
      <c r="T12" s="17"/>
      <c r="U12" s="17" t="s">
        <v>307</v>
      </c>
    </row>
    <row r="13" spans="1:21" x14ac:dyDescent="0.25">
      <c r="A13">
        <v>10</v>
      </c>
      <c r="B13" t="s">
        <v>340</v>
      </c>
      <c r="C13" s="63" t="s">
        <v>307</v>
      </c>
      <c r="D13" s="63" t="s">
        <v>307</v>
      </c>
      <c r="E13" s="17"/>
      <c r="F13" s="17"/>
      <c r="G13" s="17"/>
      <c r="H13" s="17"/>
      <c r="I13" s="63" t="s">
        <v>307</v>
      </c>
      <c r="K13">
        <v>10</v>
      </c>
      <c r="L13" t="s">
        <v>340</v>
      </c>
      <c r="M13" s="63" t="s">
        <v>307</v>
      </c>
      <c r="N13" s="63" t="s">
        <v>307</v>
      </c>
      <c r="O13" s="63" t="s">
        <v>307</v>
      </c>
      <c r="P13" s="63" t="s">
        <v>307</v>
      </c>
      <c r="Q13" s="17"/>
      <c r="R13" s="17"/>
      <c r="S13" s="17"/>
      <c r="T13" s="17"/>
      <c r="U13" s="17" t="s">
        <v>307</v>
      </c>
    </row>
    <row r="14" spans="1:21" x14ac:dyDescent="0.25">
      <c r="A14">
        <v>11</v>
      </c>
      <c r="B14" t="s">
        <v>217</v>
      </c>
      <c r="C14" s="63"/>
      <c r="D14" s="63"/>
      <c r="E14" s="17"/>
      <c r="F14" s="17"/>
      <c r="G14" s="17"/>
      <c r="H14" s="17"/>
      <c r="I14" s="17"/>
      <c r="K14">
        <v>11</v>
      </c>
      <c r="L14" t="s">
        <v>217</v>
      </c>
      <c r="M14" s="63" t="s">
        <v>307</v>
      </c>
      <c r="N14" s="63" t="s">
        <v>307</v>
      </c>
      <c r="O14" s="63" t="s">
        <v>307</v>
      </c>
      <c r="P14" s="63" t="s">
        <v>307</v>
      </c>
      <c r="Q14" s="17"/>
      <c r="R14" s="17"/>
      <c r="S14" s="17"/>
      <c r="T14" s="17"/>
      <c r="U14" s="17" t="s">
        <v>307</v>
      </c>
    </row>
    <row r="15" spans="1:21" x14ac:dyDescent="0.25">
      <c r="A15">
        <v>12</v>
      </c>
      <c r="B15" t="s">
        <v>312</v>
      </c>
      <c r="C15" s="17" t="s">
        <v>307</v>
      </c>
      <c r="D15" s="17" t="s">
        <v>307</v>
      </c>
      <c r="E15" s="17"/>
      <c r="F15" s="17"/>
      <c r="G15" s="17"/>
      <c r="H15" s="17"/>
      <c r="I15" s="17" t="s">
        <v>307</v>
      </c>
      <c r="K15">
        <v>12</v>
      </c>
      <c r="L15" t="s">
        <v>312</v>
      </c>
      <c r="M15" s="17"/>
      <c r="N15" s="17"/>
      <c r="O15" s="17"/>
      <c r="P15" s="17"/>
      <c r="Q15" s="17"/>
      <c r="R15" s="17"/>
      <c r="S15" s="17"/>
      <c r="T15" s="17"/>
      <c r="U15" s="17"/>
    </row>
    <row r="16" spans="1:21" x14ac:dyDescent="0.25">
      <c r="A16">
        <v>13</v>
      </c>
      <c r="B16" t="s">
        <v>213</v>
      </c>
      <c r="C16" s="17"/>
      <c r="D16" s="17"/>
      <c r="E16" s="17"/>
      <c r="F16" s="17"/>
      <c r="G16" s="17"/>
      <c r="H16" s="17"/>
      <c r="I16" s="17"/>
      <c r="K16">
        <v>13</v>
      </c>
      <c r="L16" t="s">
        <v>213</v>
      </c>
      <c r="M16" s="17"/>
      <c r="N16" s="17"/>
      <c r="O16" s="17"/>
      <c r="P16" s="17"/>
      <c r="Q16" s="17"/>
      <c r="R16" s="17"/>
      <c r="S16" s="17" t="s">
        <v>307</v>
      </c>
      <c r="T16" s="17" t="s">
        <v>307</v>
      </c>
      <c r="U16" s="17"/>
    </row>
    <row r="17" spans="1:21" x14ac:dyDescent="0.25">
      <c r="A17">
        <v>14</v>
      </c>
      <c r="B17" t="s">
        <v>214</v>
      </c>
      <c r="C17" s="17" t="s">
        <v>307</v>
      </c>
      <c r="D17" s="17" t="s">
        <v>307</v>
      </c>
      <c r="E17" s="17" t="s">
        <v>307</v>
      </c>
      <c r="F17" s="17" t="s">
        <v>307</v>
      </c>
      <c r="G17" s="17" t="s">
        <v>307</v>
      </c>
      <c r="H17" s="17" t="s">
        <v>307</v>
      </c>
      <c r="I17" s="17" t="s">
        <v>307</v>
      </c>
      <c r="K17">
        <v>14</v>
      </c>
      <c r="L17" t="s">
        <v>214</v>
      </c>
      <c r="M17" s="17"/>
      <c r="N17" s="17"/>
      <c r="O17" s="17"/>
      <c r="P17" s="17"/>
      <c r="Q17" s="17"/>
      <c r="R17" s="17"/>
      <c r="S17" s="17"/>
      <c r="T17" s="17"/>
      <c r="U17" s="17"/>
    </row>
    <row r="18" spans="1:21" x14ac:dyDescent="0.25">
      <c r="A18">
        <v>15</v>
      </c>
      <c r="B18" t="s">
        <v>215</v>
      </c>
      <c r="C18" s="17"/>
      <c r="D18" s="17"/>
      <c r="E18" s="17"/>
      <c r="F18" s="17"/>
      <c r="G18" s="17"/>
      <c r="H18" s="17"/>
      <c r="I18" s="17"/>
      <c r="K18">
        <v>15</v>
      </c>
      <c r="L18" t="s">
        <v>215</v>
      </c>
      <c r="M18" s="17"/>
      <c r="N18" s="17"/>
      <c r="O18" s="17"/>
      <c r="P18" s="17"/>
      <c r="Q18" s="17" t="s">
        <v>307</v>
      </c>
      <c r="R18" s="17" t="s">
        <v>307</v>
      </c>
      <c r="S18" s="17"/>
      <c r="T18" s="17"/>
      <c r="U18" s="17"/>
    </row>
  </sheetData>
  <sheetProtection password="C979" sheet="1" objects="1" scenarios="1"/>
  <conditionalFormatting sqref="B2:H18 L2:T18">
    <cfRule type="expression" dxfId="14" priority="48">
      <formula>LEFT(_xlfn.FORMULATEXT(B2), 1) = "="</formula>
    </cfRule>
  </conditionalFormatting>
  <conditionalFormatting sqref="I7">
    <cfRule type="expression" dxfId="13" priority="4">
      <formula>LEFT(_xlfn.FORMULATEXT(I7), 1) = "="</formula>
    </cfRule>
  </conditionalFormatting>
  <conditionalFormatting sqref="I2">
    <cfRule type="expression" dxfId="12" priority="9">
      <formula>LEFT(_xlfn.FORMULATEXT(I2), 1) = "="</formula>
    </cfRule>
  </conditionalFormatting>
  <conditionalFormatting sqref="U2">
    <cfRule type="expression" dxfId="11" priority="8">
      <formula>LEFT(_xlfn.FORMULATEXT(U2), 1) = "="</formula>
    </cfRule>
  </conditionalFormatting>
  <conditionalFormatting sqref="I4">
    <cfRule type="expression" dxfId="10" priority="7">
      <formula>LEFT(_xlfn.FORMULATEXT(I4), 1) = "="</formula>
    </cfRule>
  </conditionalFormatting>
  <conditionalFormatting sqref="I5">
    <cfRule type="expression" dxfId="9" priority="6">
      <formula>LEFT(_xlfn.FORMULATEXT(I5), 1) = "="</formula>
    </cfRule>
  </conditionalFormatting>
  <conditionalFormatting sqref="I6">
    <cfRule type="expression" dxfId="8" priority="5">
      <formula>LEFT(_xlfn.FORMULATEXT(I6), 1) = "="</formula>
    </cfRule>
  </conditionalFormatting>
  <conditionalFormatting sqref="B18:H18">
    <cfRule type="expression" dxfId="7" priority="3">
      <formula>LEFT(_xlfn.FORMULATEXT(B18), 1) = "="</formula>
    </cfRule>
  </conditionalFormatting>
  <conditionalFormatting sqref="L18:T18">
    <cfRule type="expression" dxfId="6" priority="2">
      <formula>LEFT(_xlfn.FORMULATEXT(L18), 1) = "="</formula>
    </cfRule>
  </conditionalFormatting>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1"/>
  </sheetPr>
  <dimension ref="A2:AD68"/>
  <sheetViews>
    <sheetView workbookViewId="0">
      <selection sqref="A1:L1"/>
    </sheetView>
  </sheetViews>
  <sheetFormatPr defaultRowHeight="15" x14ac:dyDescent="0.25"/>
  <cols>
    <col min="1" max="1" width="63.85546875" bestFit="1" customWidth="1"/>
    <col min="2" max="10" width="6" bestFit="1" customWidth="1"/>
    <col min="11" max="11" width="6.42578125" bestFit="1" customWidth="1"/>
    <col min="12" max="12" width="7.7109375" bestFit="1" customWidth="1"/>
    <col min="13" max="13" width="7" bestFit="1" customWidth="1"/>
    <col min="14" max="14" width="6.42578125" bestFit="1" customWidth="1"/>
    <col min="15" max="15" width="7" bestFit="1" customWidth="1"/>
    <col min="16" max="16" width="7.42578125" bestFit="1" customWidth="1"/>
    <col min="17" max="17" width="6.42578125" bestFit="1" customWidth="1"/>
    <col min="18" max="18" width="7" bestFit="1" customWidth="1"/>
    <col min="19" max="19" width="7.42578125" bestFit="1" customWidth="1"/>
    <col min="20" max="20" width="6.42578125" bestFit="1" customWidth="1"/>
    <col min="21" max="21" width="7" bestFit="1" customWidth="1"/>
    <col min="22" max="22" width="7.42578125" bestFit="1" customWidth="1"/>
    <col min="23" max="23" width="6.42578125" bestFit="1" customWidth="1"/>
    <col min="24" max="24" width="7.42578125" bestFit="1" customWidth="1"/>
    <col min="25" max="25" width="8.140625" bestFit="1" customWidth="1"/>
    <col min="26" max="29" width="6.42578125" bestFit="1" customWidth="1"/>
    <col min="30" max="30" width="7.42578125" bestFit="1" customWidth="1"/>
  </cols>
  <sheetData>
    <row r="2" spans="1:1" x14ac:dyDescent="0.25">
      <c r="A2" t="s">
        <v>378</v>
      </c>
    </row>
    <row r="3" spans="1:1" x14ac:dyDescent="0.25">
      <c r="A3" s="78" t="s">
        <v>9</v>
      </c>
    </row>
    <row r="4" spans="1:1" x14ac:dyDescent="0.25">
      <c r="A4" s="76" t="s">
        <v>320</v>
      </c>
    </row>
    <row r="5" spans="1:1" x14ac:dyDescent="0.25">
      <c r="A5" s="76" t="s">
        <v>341</v>
      </c>
    </row>
    <row r="6" spans="1:1" x14ac:dyDescent="0.25">
      <c r="A6" s="76" t="s">
        <v>321</v>
      </c>
    </row>
    <row r="7" spans="1:1" x14ac:dyDescent="0.25">
      <c r="A7" s="76" t="s">
        <v>396</v>
      </c>
    </row>
    <row r="8" spans="1:1" x14ac:dyDescent="0.25">
      <c r="A8" s="76" t="s">
        <v>322</v>
      </c>
    </row>
    <row r="9" spans="1:1" x14ac:dyDescent="0.25">
      <c r="A9" s="76" t="s">
        <v>323</v>
      </c>
    </row>
    <row r="10" spans="1:1" x14ac:dyDescent="0.25">
      <c r="A10" s="76" t="s">
        <v>324</v>
      </c>
    </row>
    <row r="11" spans="1:1" x14ac:dyDescent="0.25">
      <c r="A11" s="76" t="s">
        <v>342</v>
      </c>
    </row>
    <row r="12" spans="1:1" x14ac:dyDescent="0.25">
      <c r="A12" s="76" t="s">
        <v>325</v>
      </c>
    </row>
    <row r="13" spans="1:1" x14ac:dyDescent="0.25">
      <c r="A13" s="76" t="s">
        <v>326</v>
      </c>
    </row>
    <row r="14" spans="1:1" x14ac:dyDescent="0.25">
      <c r="A14" s="76" t="s">
        <v>343</v>
      </c>
    </row>
    <row r="15" spans="1:1" x14ac:dyDescent="0.25">
      <c r="A15" s="76" t="s">
        <v>327</v>
      </c>
    </row>
    <row r="16" spans="1:1" x14ac:dyDescent="0.25">
      <c r="A16" s="76" t="s">
        <v>391</v>
      </c>
    </row>
    <row r="17" spans="1:1" x14ac:dyDescent="0.25">
      <c r="A17" s="76" t="s">
        <v>328</v>
      </c>
    </row>
    <row r="18" spans="1:1" x14ac:dyDescent="0.25">
      <c r="A18" s="76" t="s">
        <v>344</v>
      </c>
    </row>
    <row r="19" spans="1:1" x14ac:dyDescent="0.25">
      <c r="A19" s="76" t="s">
        <v>329</v>
      </c>
    </row>
    <row r="20" spans="1:1" x14ac:dyDescent="0.25">
      <c r="A20" s="76" t="s">
        <v>392</v>
      </c>
    </row>
    <row r="21" spans="1:1" x14ac:dyDescent="0.25">
      <c r="A21" s="76" t="s">
        <v>330</v>
      </c>
    </row>
    <row r="22" spans="1:1" x14ac:dyDescent="0.25">
      <c r="A22" s="76" t="s">
        <v>348</v>
      </c>
    </row>
    <row r="23" spans="1:1" x14ac:dyDescent="0.25">
      <c r="A23" s="76" t="s">
        <v>349</v>
      </c>
    </row>
    <row r="24" spans="1:1" x14ac:dyDescent="0.25">
      <c r="A24" s="76" t="s">
        <v>393</v>
      </c>
    </row>
    <row r="25" spans="1:1" x14ac:dyDescent="0.25">
      <c r="A25" s="76" t="s">
        <v>350</v>
      </c>
    </row>
    <row r="26" spans="1:1" x14ac:dyDescent="0.25">
      <c r="A26" s="76" t="s">
        <v>345</v>
      </c>
    </row>
    <row r="27" spans="1:1" x14ac:dyDescent="0.25">
      <c r="A27" s="76" t="s">
        <v>331</v>
      </c>
    </row>
    <row r="28" spans="1:1" x14ac:dyDescent="0.25">
      <c r="A28" s="76" t="s">
        <v>394</v>
      </c>
    </row>
    <row r="29" spans="1:1" x14ac:dyDescent="0.25">
      <c r="A29" s="76" t="s">
        <v>332</v>
      </c>
    </row>
    <row r="30" spans="1:1" x14ac:dyDescent="0.25">
      <c r="A30" s="76" t="s">
        <v>346</v>
      </c>
    </row>
    <row r="31" spans="1:1" x14ac:dyDescent="0.25">
      <c r="A31" s="76" t="s">
        <v>333</v>
      </c>
    </row>
    <row r="32" spans="1:1" x14ac:dyDescent="0.25">
      <c r="A32" s="76" t="s">
        <v>395</v>
      </c>
    </row>
    <row r="33" spans="1:30" x14ac:dyDescent="0.25">
      <c r="A33" s="76" t="s">
        <v>334</v>
      </c>
    </row>
    <row r="34" spans="1:30" x14ac:dyDescent="0.25">
      <c r="A34" s="76" t="s">
        <v>335</v>
      </c>
    </row>
    <row r="35" spans="1:30" x14ac:dyDescent="0.25">
      <c r="A35" s="76" t="s">
        <v>336</v>
      </c>
    </row>
    <row r="36" spans="1:30" x14ac:dyDescent="0.25">
      <c r="A36" s="76" t="s">
        <v>347</v>
      </c>
    </row>
    <row r="39" spans="1:30" x14ac:dyDescent="0.25">
      <c r="A39" t="s">
        <v>9</v>
      </c>
      <c r="B39" t="s">
        <v>105</v>
      </c>
      <c r="C39" t="s">
        <v>104</v>
      </c>
      <c r="D39" t="s">
        <v>103</v>
      </c>
      <c r="E39" t="s">
        <v>102</v>
      </c>
      <c r="F39" t="s">
        <v>101</v>
      </c>
      <c r="G39" t="s">
        <v>100</v>
      </c>
      <c r="H39" t="s">
        <v>99</v>
      </c>
      <c r="I39" t="s">
        <v>98</v>
      </c>
      <c r="J39" t="s">
        <v>97</v>
      </c>
      <c r="K39" t="s">
        <v>91</v>
      </c>
      <c r="L39" t="s">
        <v>179</v>
      </c>
      <c r="M39" t="s">
        <v>96</v>
      </c>
      <c r="N39" t="s">
        <v>90</v>
      </c>
      <c r="O39" t="s">
        <v>95</v>
      </c>
      <c r="P39" t="s">
        <v>174</v>
      </c>
      <c r="Q39" t="s">
        <v>89</v>
      </c>
      <c r="R39" t="s">
        <v>94</v>
      </c>
      <c r="S39" t="s">
        <v>175</v>
      </c>
      <c r="T39" t="s">
        <v>88</v>
      </c>
      <c r="U39" t="s">
        <v>93</v>
      </c>
      <c r="V39" t="s">
        <v>176</v>
      </c>
      <c r="W39" t="s">
        <v>87</v>
      </c>
      <c r="X39" t="s">
        <v>177</v>
      </c>
      <c r="Y39" t="s">
        <v>178</v>
      </c>
      <c r="Z39" t="s">
        <v>86</v>
      </c>
      <c r="AA39" t="s">
        <v>85</v>
      </c>
      <c r="AB39" t="s">
        <v>84</v>
      </c>
      <c r="AC39" t="s">
        <v>83</v>
      </c>
      <c r="AD39" t="s">
        <v>82</v>
      </c>
    </row>
    <row r="40" spans="1:30" x14ac:dyDescent="0.25">
      <c r="A40" t="s">
        <v>105</v>
      </c>
      <c r="B40" t="s">
        <v>319</v>
      </c>
    </row>
    <row r="41" spans="1:30" x14ac:dyDescent="0.25">
      <c r="A41" t="s">
        <v>104</v>
      </c>
      <c r="B41" t="s">
        <v>319</v>
      </c>
      <c r="C41" t="s">
        <v>319</v>
      </c>
    </row>
    <row r="42" spans="1:30" x14ac:dyDescent="0.25">
      <c r="A42" t="s">
        <v>103</v>
      </c>
      <c r="B42" t="s">
        <v>319</v>
      </c>
      <c r="C42" t="s">
        <v>319</v>
      </c>
      <c r="D42" t="s">
        <v>319</v>
      </c>
    </row>
    <row r="43" spans="1:30" x14ac:dyDescent="0.25">
      <c r="A43" t="s">
        <v>102</v>
      </c>
      <c r="B43" t="s">
        <v>319</v>
      </c>
      <c r="C43" t="s">
        <v>319</v>
      </c>
      <c r="D43" t="s">
        <v>319</v>
      </c>
      <c r="E43" t="s">
        <v>319</v>
      </c>
    </row>
    <row r="44" spans="1:30" x14ac:dyDescent="0.25">
      <c r="A44" t="s">
        <v>101</v>
      </c>
      <c r="B44" t="s">
        <v>319</v>
      </c>
      <c r="C44" t="s">
        <v>319</v>
      </c>
      <c r="D44" t="s">
        <v>319</v>
      </c>
      <c r="E44" t="s">
        <v>319</v>
      </c>
      <c r="F44" t="s">
        <v>319</v>
      </c>
    </row>
    <row r="45" spans="1:30" x14ac:dyDescent="0.25">
      <c r="A45" t="s">
        <v>100</v>
      </c>
      <c r="B45" t="s">
        <v>319</v>
      </c>
      <c r="C45" t="s">
        <v>319</v>
      </c>
      <c r="D45" t="s">
        <v>319</v>
      </c>
      <c r="E45" t="s">
        <v>319</v>
      </c>
      <c r="F45" t="s">
        <v>319</v>
      </c>
      <c r="G45" t="s">
        <v>319</v>
      </c>
    </row>
    <row r="46" spans="1:30" x14ac:dyDescent="0.25">
      <c r="A46" t="s">
        <v>99</v>
      </c>
      <c r="B46" t="s">
        <v>319</v>
      </c>
      <c r="C46" t="s">
        <v>319</v>
      </c>
      <c r="D46" t="s">
        <v>319</v>
      </c>
      <c r="E46" t="s">
        <v>319</v>
      </c>
      <c r="F46" t="s">
        <v>319</v>
      </c>
      <c r="G46" t="s">
        <v>319</v>
      </c>
      <c r="H46" t="s">
        <v>319</v>
      </c>
    </row>
    <row r="47" spans="1:30" x14ac:dyDescent="0.25">
      <c r="A47" t="s">
        <v>98</v>
      </c>
      <c r="B47" t="s">
        <v>319</v>
      </c>
      <c r="C47" t="s">
        <v>319</v>
      </c>
      <c r="D47" t="s">
        <v>319</v>
      </c>
      <c r="E47" t="s">
        <v>319</v>
      </c>
      <c r="F47" t="s">
        <v>319</v>
      </c>
      <c r="G47" t="s">
        <v>319</v>
      </c>
      <c r="H47" t="s">
        <v>319</v>
      </c>
      <c r="I47" t="s">
        <v>319</v>
      </c>
    </row>
    <row r="48" spans="1:30" x14ac:dyDescent="0.25">
      <c r="A48" t="s">
        <v>97</v>
      </c>
      <c r="B48" t="s">
        <v>319</v>
      </c>
      <c r="C48" t="s">
        <v>319</v>
      </c>
      <c r="D48" t="s">
        <v>319</v>
      </c>
      <c r="E48" t="s">
        <v>319</v>
      </c>
      <c r="F48" t="s">
        <v>319</v>
      </c>
      <c r="G48" t="s">
        <v>319</v>
      </c>
      <c r="H48" t="s">
        <v>319</v>
      </c>
      <c r="I48" t="s">
        <v>319</v>
      </c>
      <c r="J48" t="s">
        <v>319</v>
      </c>
    </row>
    <row r="49" spans="1:26" x14ac:dyDescent="0.25">
      <c r="A49" t="s">
        <v>91</v>
      </c>
      <c r="B49" t="s">
        <v>319</v>
      </c>
      <c r="C49" t="s">
        <v>319</v>
      </c>
      <c r="D49" t="s">
        <v>319</v>
      </c>
      <c r="E49" t="s">
        <v>319</v>
      </c>
      <c r="F49" t="s">
        <v>319</v>
      </c>
      <c r="G49" t="s">
        <v>319</v>
      </c>
      <c r="H49" t="s">
        <v>319</v>
      </c>
      <c r="I49" t="s">
        <v>319</v>
      </c>
      <c r="J49" t="s">
        <v>319</v>
      </c>
      <c r="K49" t="s">
        <v>319</v>
      </c>
      <c r="L49" t="s">
        <v>319</v>
      </c>
      <c r="M49" t="s">
        <v>319</v>
      </c>
    </row>
    <row r="50" spans="1:26" x14ac:dyDescent="0.25">
      <c r="A50" t="s">
        <v>179</v>
      </c>
      <c r="B50" t="s">
        <v>319</v>
      </c>
      <c r="C50" t="s">
        <v>319</v>
      </c>
      <c r="D50" t="s">
        <v>319</v>
      </c>
      <c r="E50" t="s">
        <v>319</v>
      </c>
      <c r="F50" t="s">
        <v>319</v>
      </c>
      <c r="G50" t="s">
        <v>319</v>
      </c>
      <c r="H50" t="s">
        <v>319</v>
      </c>
      <c r="I50" t="s">
        <v>319</v>
      </c>
      <c r="J50" t="s">
        <v>319</v>
      </c>
      <c r="K50" t="s">
        <v>319</v>
      </c>
      <c r="L50" t="s">
        <v>319</v>
      </c>
      <c r="M50" t="s">
        <v>319</v>
      </c>
    </row>
    <row r="51" spans="1:26" x14ac:dyDescent="0.25">
      <c r="A51" t="s">
        <v>96</v>
      </c>
      <c r="B51" t="s">
        <v>319</v>
      </c>
      <c r="C51" t="s">
        <v>319</v>
      </c>
      <c r="D51" t="s">
        <v>319</v>
      </c>
      <c r="E51" t="s">
        <v>319</v>
      </c>
      <c r="F51" t="s">
        <v>319</v>
      </c>
      <c r="G51" t="s">
        <v>319</v>
      </c>
      <c r="H51" t="s">
        <v>319</v>
      </c>
      <c r="I51" t="s">
        <v>319</v>
      </c>
      <c r="J51" t="s">
        <v>319</v>
      </c>
      <c r="K51" t="s">
        <v>319</v>
      </c>
      <c r="L51" t="s">
        <v>319</v>
      </c>
      <c r="M51" t="s">
        <v>319</v>
      </c>
    </row>
    <row r="52" spans="1:26" x14ac:dyDescent="0.25">
      <c r="A52" t="s">
        <v>90</v>
      </c>
      <c r="B52" t="s">
        <v>319</v>
      </c>
      <c r="C52" t="s">
        <v>319</v>
      </c>
      <c r="D52" t="s">
        <v>319</v>
      </c>
      <c r="E52" t="s">
        <v>319</v>
      </c>
      <c r="F52" t="s">
        <v>319</v>
      </c>
      <c r="G52" t="s">
        <v>319</v>
      </c>
      <c r="H52" t="s">
        <v>319</v>
      </c>
      <c r="I52" t="s">
        <v>319</v>
      </c>
      <c r="J52" t="s">
        <v>319</v>
      </c>
      <c r="K52" t="s">
        <v>319</v>
      </c>
      <c r="L52" t="s">
        <v>319</v>
      </c>
      <c r="M52" t="s">
        <v>319</v>
      </c>
      <c r="N52" t="s">
        <v>319</v>
      </c>
      <c r="O52" t="s">
        <v>319</v>
      </c>
      <c r="P52" t="s">
        <v>319</v>
      </c>
    </row>
    <row r="53" spans="1:26" x14ac:dyDescent="0.25">
      <c r="A53" t="s">
        <v>95</v>
      </c>
      <c r="B53" t="s">
        <v>319</v>
      </c>
      <c r="C53" t="s">
        <v>319</v>
      </c>
      <c r="D53" t="s">
        <v>319</v>
      </c>
      <c r="E53" t="s">
        <v>319</v>
      </c>
      <c r="F53" t="s">
        <v>319</v>
      </c>
      <c r="G53" t="s">
        <v>319</v>
      </c>
      <c r="H53" t="s">
        <v>319</v>
      </c>
      <c r="I53" t="s">
        <v>319</v>
      </c>
      <c r="J53" t="s">
        <v>319</v>
      </c>
      <c r="K53" t="s">
        <v>319</v>
      </c>
      <c r="L53" t="s">
        <v>319</v>
      </c>
      <c r="M53" t="s">
        <v>319</v>
      </c>
      <c r="N53" t="s">
        <v>319</v>
      </c>
      <c r="O53" t="s">
        <v>319</v>
      </c>
      <c r="P53" t="s">
        <v>319</v>
      </c>
    </row>
    <row r="54" spans="1:26" x14ac:dyDescent="0.25">
      <c r="A54" t="s">
        <v>174</v>
      </c>
      <c r="B54" t="s">
        <v>319</v>
      </c>
      <c r="C54" t="s">
        <v>319</v>
      </c>
      <c r="D54" t="s">
        <v>319</v>
      </c>
      <c r="E54" t="s">
        <v>319</v>
      </c>
      <c r="F54" t="s">
        <v>319</v>
      </c>
      <c r="G54" t="s">
        <v>319</v>
      </c>
      <c r="H54" t="s">
        <v>319</v>
      </c>
      <c r="I54" t="s">
        <v>319</v>
      </c>
      <c r="J54" t="s">
        <v>319</v>
      </c>
      <c r="K54" t="s">
        <v>319</v>
      </c>
      <c r="L54" t="s">
        <v>319</v>
      </c>
      <c r="M54" t="s">
        <v>319</v>
      </c>
      <c r="N54" t="s">
        <v>319</v>
      </c>
      <c r="O54" t="s">
        <v>319</v>
      </c>
      <c r="P54" t="s">
        <v>319</v>
      </c>
    </row>
    <row r="55" spans="1:26" x14ac:dyDescent="0.25">
      <c r="A55" t="s">
        <v>89</v>
      </c>
      <c r="B55" t="s">
        <v>319</v>
      </c>
      <c r="C55" t="s">
        <v>319</v>
      </c>
      <c r="D55" t="s">
        <v>319</v>
      </c>
      <c r="E55" t="s">
        <v>319</v>
      </c>
      <c r="F55" t="s">
        <v>319</v>
      </c>
      <c r="G55" t="s">
        <v>319</v>
      </c>
      <c r="H55" t="s">
        <v>319</v>
      </c>
      <c r="I55" t="s">
        <v>319</v>
      </c>
      <c r="J55" t="s">
        <v>319</v>
      </c>
      <c r="K55" t="s">
        <v>319</v>
      </c>
      <c r="L55" t="s">
        <v>319</v>
      </c>
      <c r="M55" t="s">
        <v>319</v>
      </c>
      <c r="N55" t="s">
        <v>319</v>
      </c>
      <c r="O55" t="s">
        <v>319</v>
      </c>
      <c r="P55" t="s">
        <v>319</v>
      </c>
      <c r="Q55" t="s">
        <v>319</v>
      </c>
      <c r="R55" t="s">
        <v>319</v>
      </c>
      <c r="S55" t="s">
        <v>319</v>
      </c>
    </row>
    <row r="56" spans="1:26" x14ac:dyDescent="0.25">
      <c r="A56" t="s">
        <v>94</v>
      </c>
      <c r="B56" t="s">
        <v>319</v>
      </c>
      <c r="C56" t="s">
        <v>319</v>
      </c>
      <c r="D56" t="s">
        <v>319</v>
      </c>
      <c r="E56" t="s">
        <v>319</v>
      </c>
      <c r="F56" t="s">
        <v>319</v>
      </c>
      <c r="G56" t="s">
        <v>319</v>
      </c>
      <c r="H56" t="s">
        <v>319</v>
      </c>
      <c r="I56" t="s">
        <v>319</v>
      </c>
      <c r="J56" t="s">
        <v>319</v>
      </c>
      <c r="K56" t="s">
        <v>319</v>
      </c>
      <c r="L56" t="s">
        <v>319</v>
      </c>
      <c r="M56" t="s">
        <v>319</v>
      </c>
      <c r="N56" t="s">
        <v>319</v>
      </c>
      <c r="O56" t="s">
        <v>319</v>
      </c>
      <c r="P56" t="s">
        <v>319</v>
      </c>
      <c r="Q56" t="s">
        <v>319</v>
      </c>
      <c r="R56" t="s">
        <v>319</v>
      </c>
      <c r="S56" t="s">
        <v>319</v>
      </c>
    </row>
    <row r="57" spans="1:26" x14ac:dyDescent="0.25">
      <c r="A57" t="s">
        <v>175</v>
      </c>
      <c r="B57" t="s">
        <v>319</v>
      </c>
      <c r="C57" t="s">
        <v>319</v>
      </c>
      <c r="D57" t="s">
        <v>319</v>
      </c>
      <c r="E57" t="s">
        <v>319</v>
      </c>
      <c r="F57" t="s">
        <v>319</v>
      </c>
      <c r="G57" t="s">
        <v>319</v>
      </c>
      <c r="H57" t="s">
        <v>319</v>
      </c>
      <c r="I57" t="s">
        <v>319</v>
      </c>
      <c r="J57" t="s">
        <v>319</v>
      </c>
      <c r="K57" t="s">
        <v>319</v>
      </c>
      <c r="L57" t="s">
        <v>319</v>
      </c>
      <c r="M57" t="s">
        <v>319</v>
      </c>
      <c r="N57" t="s">
        <v>319</v>
      </c>
      <c r="O57" t="s">
        <v>319</v>
      </c>
      <c r="P57" t="s">
        <v>319</v>
      </c>
      <c r="Q57" t="s">
        <v>319</v>
      </c>
      <c r="R57" t="s">
        <v>319</v>
      </c>
      <c r="S57" t="s">
        <v>319</v>
      </c>
    </row>
    <row r="58" spans="1:26" x14ac:dyDescent="0.25">
      <c r="A58" t="s">
        <v>88</v>
      </c>
      <c r="B58" t="s">
        <v>319</v>
      </c>
      <c r="C58" t="s">
        <v>319</v>
      </c>
      <c r="D58" t="s">
        <v>319</v>
      </c>
      <c r="E58" t="s">
        <v>319</v>
      </c>
      <c r="F58" t="s">
        <v>319</v>
      </c>
      <c r="G58" t="s">
        <v>319</v>
      </c>
      <c r="H58" t="s">
        <v>319</v>
      </c>
      <c r="I58" t="s">
        <v>319</v>
      </c>
      <c r="J58" t="s">
        <v>319</v>
      </c>
      <c r="K58" t="s">
        <v>319</v>
      </c>
      <c r="L58" t="s">
        <v>319</v>
      </c>
      <c r="M58" t="s">
        <v>319</v>
      </c>
      <c r="N58" t="s">
        <v>319</v>
      </c>
      <c r="O58" t="s">
        <v>319</v>
      </c>
      <c r="P58" t="s">
        <v>319</v>
      </c>
      <c r="Q58" t="s">
        <v>319</v>
      </c>
      <c r="R58" t="s">
        <v>319</v>
      </c>
      <c r="S58" t="s">
        <v>319</v>
      </c>
      <c r="T58" t="s">
        <v>319</v>
      </c>
      <c r="U58" t="s">
        <v>319</v>
      </c>
      <c r="V58" t="s">
        <v>319</v>
      </c>
    </row>
    <row r="59" spans="1:26" x14ac:dyDescent="0.25">
      <c r="A59" t="s">
        <v>93</v>
      </c>
      <c r="B59" t="s">
        <v>319</v>
      </c>
      <c r="C59" t="s">
        <v>319</v>
      </c>
      <c r="D59" t="s">
        <v>319</v>
      </c>
      <c r="E59" t="s">
        <v>319</v>
      </c>
      <c r="F59" t="s">
        <v>319</v>
      </c>
      <c r="G59" t="s">
        <v>319</v>
      </c>
      <c r="H59" t="s">
        <v>319</v>
      </c>
      <c r="I59" t="s">
        <v>319</v>
      </c>
      <c r="J59" t="s">
        <v>319</v>
      </c>
      <c r="K59" t="s">
        <v>319</v>
      </c>
      <c r="L59" t="s">
        <v>319</v>
      </c>
      <c r="M59" t="s">
        <v>319</v>
      </c>
      <c r="N59" t="s">
        <v>319</v>
      </c>
      <c r="O59" t="s">
        <v>319</v>
      </c>
      <c r="P59" t="s">
        <v>319</v>
      </c>
      <c r="Q59" t="s">
        <v>319</v>
      </c>
      <c r="R59" t="s">
        <v>319</v>
      </c>
      <c r="S59" t="s">
        <v>319</v>
      </c>
      <c r="T59" t="s">
        <v>319</v>
      </c>
      <c r="U59" t="s">
        <v>319</v>
      </c>
      <c r="V59" t="s">
        <v>319</v>
      </c>
    </row>
    <row r="60" spans="1:26" x14ac:dyDescent="0.25">
      <c r="A60" t="s">
        <v>176</v>
      </c>
      <c r="B60" t="s">
        <v>319</v>
      </c>
      <c r="C60" t="s">
        <v>319</v>
      </c>
      <c r="D60" t="s">
        <v>319</v>
      </c>
      <c r="E60" t="s">
        <v>319</v>
      </c>
      <c r="F60" t="s">
        <v>319</v>
      </c>
      <c r="G60" t="s">
        <v>319</v>
      </c>
      <c r="H60" t="s">
        <v>319</v>
      </c>
      <c r="I60" t="s">
        <v>319</v>
      </c>
      <c r="J60" t="s">
        <v>319</v>
      </c>
      <c r="K60" t="s">
        <v>319</v>
      </c>
      <c r="L60" t="s">
        <v>319</v>
      </c>
      <c r="M60" t="s">
        <v>319</v>
      </c>
      <c r="N60" t="s">
        <v>319</v>
      </c>
      <c r="O60" t="s">
        <v>319</v>
      </c>
      <c r="P60" t="s">
        <v>319</v>
      </c>
      <c r="Q60" t="s">
        <v>319</v>
      </c>
      <c r="R60" t="s">
        <v>319</v>
      </c>
      <c r="S60" t="s">
        <v>319</v>
      </c>
      <c r="T60" t="s">
        <v>319</v>
      </c>
      <c r="U60" t="s">
        <v>319</v>
      </c>
      <c r="V60" t="s">
        <v>319</v>
      </c>
    </row>
    <row r="61" spans="1:26" x14ac:dyDescent="0.25">
      <c r="A61" t="s">
        <v>87</v>
      </c>
      <c r="B61" t="s">
        <v>319</v>
      </c>
      <c r="C61" t="s">
        <v>319</v>
      </c>
      <c r="D61" t="s">
        <v>319</v>
      </c>
      <c r="E61" t="s">
        <v>319</v>
      </c>
      <c r="F61" t="s">
        <v>319</v>
      </c>
      <c r="G61" t="s">
        <v>319</v>
      </c>
      <c r="H61" t="s">
        <v>319</v>
      </c>
      <c r="I61" t="s">
        <v>319</v>
      </c>
      <c r="J61" t="s">
        <v>319</v>
      </c>
      <c r="K61" t="s">
        <v>319</v>
      </c>
      <c r="L61" t="s">
        <v>319</v>
      </c>
      <c r="M61" t="s">
        <v>319</v>
      </c>
      <c r="N61" t="s">
        <v>319</v>
      </c>
      <c r="O61" t="s">
        <v>319</v>
      </c>
      <c r="P61" t="s">
        <v>319</v>
      </c>
      <c r="Q61" t="s">
        <v>319</v>
      </c>
      <c r="R61" t="s">
        <v>319</v>
      </c>
      <c r="S61" t="s">
        <v>319</v>
      </c>
      <c r="T61" t="s">
        <v>319</v>
      </c>
      <c r="U61" t="s">
        <v>319</v>
      </c>
      <c r="V61" t="s">
        <v>319</v>
      </c>
      <c r="W61" t="s">
        <v>319</v>
      </c>
      <c r="X61" t="s">
        <v>319</v>
      </c>
      <c r="Y61" t="s">
        <v>319</v>
      </c>
    </row>
    <row r="62" spans="1:26" x14ac:dyDescent="0.25">
      <c r="A62" t="s">
        <v>177</v>
      </c>
      <c r="B62" t="s">
        <v>319</v>
      </c>
      <c r="C62" t="s">
        <v>319</v>
      </c>
      <c r="D62" t="s">
        <v>319</v>
      </c>
      <c r="E62" t="s">
        <v>319</v>
      </c>
      <c r="F62" t="s">
        <v>319</v>
      </c>
      <c r="G62" t="s">
        <v>319</v>
      </c>
      <c r="H62" t="s">
        <v>319</v>
      </c>
      <c r="I62" t="s">
        <v>319</v>
      </c>
      <c r="J62" t="s">
        <v>319</v>
      </c>
      <c r="K62" t="s">
        <v>319</v>
      </c>
      <c r="L62" t="s">
        <v>319</v>
      </c>
      <c r="M62" t="s">
        <v>319</v>
      </c>
      <c r="N62" t="s">
        <v>319</v>
      </c>
      <c r="O62" t="s">
        <v>319</v>
      </c>
      <c r="P62" t="s">
        <v>319</v>
      </c>
      <c r="Q62" t="s">
        <v>319</v>
      </c>
      <c r="R62" t="s">
        <v>319</v>
      </c>
      <c r="S62" t="s">
        <v>319</v>
      </c>
      <c r="T62" t="s">
        <v>319</v>
      </c>
      <c r="U62" t="s">
        <v>319</v>
      </c>
      <c r="V62" t="s">
        <v>319</v>
      </c>
      <c r="W62" t="s">
        <v>319</v>
      </c>
      <c r="X62" t="s">
        <v>319</v>
      </c>
      <c r="Y62" t="s">
        <v>319</v>
      </c>
    </row>
    <row r="63" spans="1:26" x14ac:dyDescent="0.25">
      <c r="A63" t="s">
        <v>178</v>
      </c>
      <c r="B63" t="s">
        <v>319</v>
      </c>
      <c r="C63" t="s">
        <v>319</v>
      </c>
      <c r="D63" t="s">
        <v>319</v>
      </c>
      <c r="E63" t="s">
        <v>319</v>
      </c>
      <c r="F63" t="s">
        <v>319</v>
      </c>
      <c r="G63" t="s">
        <v>319</v>
      </c>
      <c r="H63" t="s">
        <v>319</v>
      </c>
      <c r="I63" t="s">
        <v>319</v>
      </c>
      <c r="J63" t="s">
        <v>319</v>
      </c>
      <c r="K63" t="s">
        <v>319</v>
      </c>
      <c r="L63" t="s">
        <v>319</v>
      </c>
      <c r="M63" t="s">
        <v>319</v>
      </c>
      <c r="N63" t="s">
        <v>319</v>
      </c>
      <c r="O63" t="s">
        <v>319</v>
      </c>
      <c r="P63" t="s">
        <v>319</v>
      </c>
      <c r="Q63" t="s">
        <v>319</v>
      </c>
      <c r="R63" t="s">
        <v>319</v>
      </c>
      <c r="S63" t="s">
        <v>319</v>
      </c>
      <c r="T63" t="s">
        <v>319</v>
      </c>
      <c r="U63" t="s">
        <v>319</v>
      </c>
      <c r="V63" t="s">
        <v>319</v>
      </c>
      <c r="W63" t="s">
        <v>319</v>
      </c>
      <c r="X63" t="s">
        <v>319</v>
      </c>
      <c r="Y63" t="s">
        <v>319</v>
      </c>
    </row>
    <row r="64" spans="1:26" x14ac:dyDescent="0.25">
      <c r="A64" t="s">
        <v>86</v>
      </c>
      <c r="B64" t="s">
        <v>319</v>
      </c>
      <c r="C64" t="s">
        <v>319</v>
      </c>
      <c r="D64" t="s">
        <v>319</v>
      </c>
      <c r="E64" t="s">
        <v>319</v>
      </c>
      <c r="F64" t="s">
        <v>319</v>
      </c>
      <c r="G64" t="s">
        <v>319</v>
      </c>
      <c r="H64" t="s">
        <v>319</v>
      </c>
      <c r="I64" t="s">
        <v>319</v>
      </c>
      <c r="J64" t="s">
        <v>319</v>
      </c>
      <c r="K64" t="s">
        <v>319</v>
      </c>
      <c r="L64" t="s">
        <v>319</v>
      </c>
      <c r="M64" t="s">
        <v>319</v>
      </c>
      <c r="N64" t="s">
        <v>319</v>
      </c>
      <c r="O64" t="s">
        <v>319</v>
      </c>
      <c r="P64" t="s">
        <v>319</v>
      </c>
      <c r="Q64" t="s">
        <v>319</v>
      </c>
      <c r="R64" t="s">
        <v>319</v>
      </c>
      <c r="S64" t="s">
        <v>319</v>
      </c>
      <c r="T64" t="s">
        <v>319</v>
      </c>
      <c r="U64" t="s">
        <v>319</v>
      </c>
      <c r="V64" t="s">
        <v>319</v>
      </c>
      <c r="W64" t="s">
        <v>319</v>
      </c>
      <c r="X64" t="s">
        <v>319</v>
      </c>
      <c r="Y64" t="s">
        <v>319</v>
      </c>
      <c r="Z64" t="s">
        <v>319</v>
      </c>
    </row>
    <row r="65" spans="1:30" x14ac:dyDescent="0.25">
      <c r="A65" t="s">
        <v>85</v>
      </c>
      <c r="B65" t="s">
        <v>319</v>
      </c>
      <c r="C65" t="s">
        <v>319</v>
      </c>
      <c r="D65" t="s">
        <v>319</v>
      </c>
      <c r="E65" t="s">
        <v>319</v>
      </c>
      <c r="F65" t="s">
        <v>319</v>
      </c>
      <c r="G65" t="s">
        <v>319</v>
      </c>
      <c r="H65" t="s">
        <v>319</v>
      </c>
      <c r="I65" t="s">
        <v>319</v>
      </c>
      <c r="J65" t="s">
        <v>319</v>
      </c>
      <c r="K65" t="s">
        <v>319</v>
      </c>
      <c r="L65" t="s">
        <v>319</v>
      </c>
      <c r="M65" t="s">
        <v>319</v>
      </c>
      <c r="N65" t="s">
        <v>319</v>
      </c>
      <c r="O65" t="s">
        <v>319</v>
      </c>
      <c r="P65" t="s">
        <v>319</v>
      </c>
      <c r="Q65" t="s">
        <v>319</v>
      </c>
      <c r="R65" t="s">
        <v>319</v>
      </c>
      <c r="S65" t="s">
        <v>319</v>
      </c>
      <c r="T65" t="s">
        <v>319</v>
      </c>
      <c r="U65" t="s">
        <v>319</v>
      </c>
      <c r="V65" t="s">
        <v>319</v>
      </c>
      <c r="W65" t="s">
        <v>319</v>
      </c>
      <c r="X65" t="s">
        <v>319</v>
      </c>
      <c r="Y65" t="s">
        <v>319</v>
      </c>
      <c r="Z65" t="s">
        <v>319</v>
      </c>
      <c r="AA65" t="s">
        <v>319</v>
      </c>
    </row>
    <row r="66" spans="1:30" x14ac:dyDescent="0.25">
      <c r="A66" t="s">
        <v>84</v>
      </c>
      <c r="B66" t="s">
        <v>319</v>
      </c>
      <c r="C66" t="s">
        <v>319</v>
      </c>
      <c r="D66" t="s">
        <v>319</v>
      </c>
      <c r="E66" t="s">
        <v>319</v>
      </c>
      <c r="F66" t="s">
        <v>319</v>
      </c>
      <c r="G66" t="s">
        <v>319</v>
      </c>
      <c r="H66" t="s">
        <v>319</v>
      </c>
      <c r="I66" t="s">
        <v>319</v>
      </c>
      <c r="J66" t="s">
        <v>319</v>
      </c>
      <c r="K66" t="s">
        <v>319</v>
      </c>
      <c r="L66" t="s">
        <v>319</v>
      </c>
      <c r="M66" t="s">
        <v>319</v>
      </c>
      <c r="N66" t="s">
        <v>319</v>
      </c>
      <c r="O66" t="s">
        <v>319</v>
      </c>
      <c r="P66" t="s">
        <v>319</v>
      </c>
      <c r="Q66" t="s">
        <v>319</v>
      </c>
      <c r="R66" t="s">
        <v>319</v>
      </c>
      <c r="S66" t="s">
        <v>319</v>
      </c>
      <c r="T66" t="s">
        <v>319</v>
      </c>
      <c r="U66" t="s">
        <v>319</v>
      </c>
      <c r="V66" t="s">
        <v>319</v>
      </c>
      <c r="W66" t="s">
        <v>319</v>
      </c>
      <c r="X66" t="s">
        <v>319</v>
      </c>
      <c r="Y66" t="s">
        <v>319</v>
      </c>
      <c r="Z66" t="s">
        <v>319</v>
      </c>
      <c r="AA66" t="s">
        <v>319</v>
      </c>
      <c r="AB66" t="s">
        <v>319</v>
      </c>
    </row>
    <row r="67" spans="1:30" x14ac:dyDescent="0.25">
      <c r="A67" t="s">
        <v>83</v>
      </c>
      <c r="B67" t="s">
        <v>319</v>
      </c>
      <c r="C67" t="s">
        <v>319</v>
      </c>
      <c r="D67" t="s">
        <v>319</v>
      </c>
      <c r="E67" t="s">
        <v>319</v>
      </c>
      <c r="F67" t="s">
        <v>319</v>
      </c>
      <c r="G67" t="s">
        <v>319</v>
      </c>
      <c r="H67" t="s">
        <v>319</v>
      </c>
      <c r="I67" t="s">
        <v>319</v>
      </c>
      <c r="J67" t="s">
        <v>319</v>
      </c>
      <c r="K67" t="s">
        <v>319</v>
      </c>
      <c r="L67" t="s">
        <v>319</v>
      </c>
      <c r="M67" t="s">
        <v>319</v>
      </c>
      <c r="N67" t="s">
        <v>319</v>
      </c>
      <c r="O67" t="s">
        <v>319</v>
      </c>
      <c r="P67" t="s">
        <v>319</v>
      </c>
      <c r="Q67" t="s">
        <v>319</v>
      </c>
      <c r="R67" t="s">
        <v>319</v>
      </c>
      <c r="S67" t="s">
        <v>319</v>
      </c>
      <c r="T67" t="s">
        <v>319</v>
      </c>
      <c r="U67" t="s">
        <v>319</v>
      </c>
      <c r="V67" t="s">
        <v>319</v>
      </c>
      <c r="W67" t="s">
        <v>319</v>
      </c>
      <c r="X67" t="s">
        <v>319</v>
      </c>
      <c r="Y67" t="s">
        <v>319</v>
      </c>
      <c r="Z67" t="s">
        <v>319</v>
      </c>
      <c r="AA67" t="s">
        <v>319</v>
      </c>
      <c r="AB67" t="s">
        <v>319</v>
      </c>
      <c r="AC67" t="s">
        <v>319</v>
      </c>
    </row>
    <row r="68" spans="1:30" x14ac:dyDescent="0.25">
      <c r="A68" t="s">
        <v>82</v>
      </c>
      <c r="B68" t="s">
        <v>319</v>
      </c>
      <c r="C68" t="s">
        <v>319</v>
      </c>
      <c r="D68" t="s">
        <v>319</v>
      </c>
      <c r="E68" t="s">
        <v>319</v>
      </c>
      <c r="F68" t="s">
        <v>319</v>
      </c>
      <c r="G68" t="s">
        <v>319</v>
      </c>
      <c r="H68" t="s">
        <v>319</v>
      </c>
      <c r="I68" t="s">
        <v>319</v>
      </c>
      <c r="J68" t="s">
        <v>319</v>
      </c>
      <c r="K68" t="s">
        <v>319</v>
      </c>
      <c r="L68" t="s">
        <v>319</v>
      </c>
      <c r="M68" t="s">
        <v>319</v>
      </c>
      <c r="N68" t="s">
        <v>319</v>
      </c>
      <c r="O68" t="s">
        <v>319</v>
      </c>
      <c r="P68" t="s">
        <v>319</v>
      </c>
      <c r="Q68" t="s">
        <v>319</v>
      </c>
      <c r="R68" t="s">
        <v>319</v>
      </c>
      <c r="S68" t="s">
        <v>319</v>
      </c>
      <c r="T68" t="s">
        <v>319</v>
      </c>
      <c r="U68" t="s">
        <v>319</v>
      </c>
      <c r="V68" t="s">
        <v>319</v>
      </c>
      <c r="W68" t="s">
        <v>319</v>
      </c>
      <c r="X68" t="s">
        <v>319</v>
      </c>
      <c r="Y68" t="s">
        <v>319</v>
      </c>
      <c r="Z68" t="s">
        <v>319</v>
      </c>
      <c r="AA68" t="s">
        <v>319</v>
      </c>
      <c r="AB68" t="s">
        <v>319</v>
      </c>
      <c r="AC68" t="s">
        <v>319</v>
      </c>
      <c r="AD68" t="s">
        <v>319</v>
      </c>
    </row>
  </sheetData>
  <sheetProtection password="C979" sheet="1" objects="1" scenarios="1"/>
  <conditionalFormatting sqref="A4:A36">
    <cfRule type="expression" dxfId="5" priority="36">
      <formula>LEFT(_xlfn.FORMULATEXT(A4), 1) = "="</formula>
    </cfRule>
  </conditionalFormatting>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1"/>
  </sheetPr>
  <dimension ref="A2:L15"/>
  <sheetViews>
    <sheetView topLeftCell="A3" workbookViewId="0">
      <pane xSplit="3" ySplit="2" topLeftCell="D5" activePane="bottomRight" state="frozen"/>
      <selection sqref="A1:L1"/>
      <selection pane="topRight" sqref="A1:L1"/>
      <selection pane="bottomLeft" sqref="A1:L1"/>
      <selection pane="bottomRight" activeCell="F9" sqref="F9"/>
    </sheetView>
  </sheetViews>
  <sheetFormatPr defaultRowHeight="15" x14ac:dyDescent="0.25"/>
  <cols>
    <col min="1" max="1" width="14" bestFit="1" customWidth="1"/>
    <col min="2" max="2" width="13.140625" bestFit="1" customWidth="1"/>
    <col min="3" max="3" width="2.7109375" bestFit="1" customWidth="1"/>
    <col min="4" max="5" width="7" customWidth="1"/>
    <col min="6" max="6" width="8.5703125" bestFit="1" customWidth="1"/>
    <col min="7" max="7" width="9.5703125" bestFit="1" customWidth="1"/>
    <col min="8" max="8" width="8.5703125" bestFit="1" customWidth="1"/>
    <col min="9" max="9" width="10.28515625" bestFit="1" customWidth="1"/>
    <col min="10" max="10" width="8" bestFit="1" customWidth="1"/>
    <col min="11" max="11" width="8.140625" bestFit="1" customWidth="1"/>
    <col min="12" max="12" width="10.5703125" bestFit="1" customWidth="1"/>
    <col min="13" max="13" width="11" bestFit="1" customWidth="1"/>
  </cols>
  <sheetData>
    <row r="2" spans="1:12" x14ac:dyDescent="0.25">
      <c r="D2" t="s">
        <v>173</v>
      </c>
    </row>
    <row r="3" spans="1:12" x14ac:dyDescent="0.25">
      <c r="L3" s="68"/>
    </row>
    <row r="4" spans="1:12" x14ac:dyDescent="0.25">
      <c r="C4" t="s">
        <v>116</v>
      </c>
      <c r="D4" t="s">
        <v>303</v>
      </c>
      <c r="E4" t="s">
        <v>304</v>
      </c>
      <c r="F4" t="s">
        <v>223</v>
      </c>
      <c r="G4" t="s">
        <v>338</v>
      </c>
      <c r="H4" t="s">
        <v>222</v>
      </c>
      <c r="I4" t="s">
        <v>224</v>
      </c>
      <c r="J4" t="s">
        <v>226</v>
      </c>
      <c r="K4" t="s">
        <v>227</v>
      </c>
      <c r="L4" t="s">
        <v>225</v>
      </c>
    </row>
    <row r="5" spans="1:12" x14ac:dyDescent="0.25">
      <c r="B5" s="72" t="s">
        <v>186</v>
      </c>
      <c r="C5" s="71" t="s">
        <v>289</v>
      </c>
      <c r="D5" s="69" t="s">
        <v>142</v>
      </c>
      <c r="E5" s="69" t="s">
        <v>142</v>
      </c>
      <c r="F5" s="69" t="s">
        <v>142</v>
      </c>
      <c r="G5" s="69" t="s">
        <v>142</v>
      </c>
      <c r="H5" s="69" t="s">
        <v>142</v>
      </c>
      <c r="I5" s="69" t="s">
        <v>142</v>
      </c>
      <c r="J5" s="69" t="s">
        <v>142</v>
      </c>
      <c r="K5" s="69" t="s">
        <v>142</v>
      </c>
      <c r="L5" s="69" t="s">
        <v>142</v>
      </c>
    </row>
    <row r="6" spans="1:12" x14ac:dyDescent="0.25">
      <c r="B6" t="s">
        <v>299</v>
      </c>
      <c r="C6" t="s">
        <v>287</v>
      </c>
      <c r="D6" s="69" t="s">
        <v>143</v>
      </c>
      <c r="E6" s="69" t="s">
        <v>143</v>
      </c>
      <c r="F6" s="69" t="s">
        <v>143</v>
      </c>
      <c r="G6" s="69" t="s">
        <v>143</v>
      </c>
      <c r="H6" s="69" t="s">
        <v>143</v>
      </c>
      <c r="I6" s="69" t="s">
        <v>143</v>
      </c>
      <c r="J6" s="69" t="s">
        <v>143</v>
      </c>
      <c r="K6" s="69" t="s">
        <v>143</v>
      </c>
      <c r="L6" s="69" t="s">
        <v>143</v>
      </c>
    </row>
    <row r="7" spans="1:12" x14ac:dyDescent="0.25">
      <c r="A7" t="s">
        <v>9</v>
      </c>
      <c r="B7" t="s">
        <v>296</v>
      </c>
      <c r="C7" t="s">
        <v>287</v>
      </c>
      <c r="D7" s="69" t="s">
        <v>144</v>
      </c>
      <c r="E7" s="69" t="s">
        <v>144</v>
      </c>
      <c r="F7" s="69" t="s">
        <v>146</v>
      </c>
      <c r="G7" s="69" t="s">
        <v>146</v>
      </c>
      <c r="H7" s="69" t="s">
        <v>148</v>
      </c>
      <c r="I7" s="69" t="s">
        <v>148</v>
      </c>
      <c r="J7" s="69" t="s">
        <v>150</v>
      </c>
      <c r="K7" s="69" t="s">
        <v>154</v>
      </c>
      <c r="L7" s="69" t="s">
        <v>154</v>
      </c>
    </row>
    <row r="8" spans="1:12" x14ac:dyDescent="0.25">
      <c r="B8" t="s">
        <v>301</v>
      </c>
      <c r="C8" t="s">
        <v>287</v>
      </c>
      <c r="D8" s="69" t="s">
        <v>145</v>
      </c>
      <c r="E8" s="69" t="s">
        <v>145</v>
      </c>
      <c r="F8" s="69" t="s">
        <v>147</v>
      </c>
      <c r="G8" s="69" t="s">
        <v>147</v>
      </c>
      <c r="H8" s="69" t="s">
        <v>149</v>
      </c>
      <c r="I8" s="69" t="s">
        <v>149</v>
      </c>
      <c r="J8" s="69" t="s">
        <v>151</v>
      </c>
      <c r="K8" s="69" t="s">
        <v>154</v>
      </c>
      <c r="L8" s="69" t="s">
        <v>154</v>
      </c>
    </row>
    <row r="9" spans="1:12" x14ac:dyDescent="0.25">
      <c r="B9" t="s">
        <v>298</v>
      </c>
      <c r="C9" s="70" t="s">
        <v>289</v>
      </c>
      <c r="D9" s="69" t="s">
        <v>152</v>
      </c>
      <c r="E9" s="69" t="s">
        <v>152</v>
      </c>
      <c r="F9" s="69" t="s">
        <v>153</v>
      </c>
      <c r="G9" s="69" t="s">
        <v>153</v>
      </c>
      <c r="H9" s="69" t="s">
        <v>159</v>
      </c>
      <c r="I9" s="69" t="s">
        <v>155</v>
      </c>
      <c r="J9" s="69" t="s">
        <v>156</v>
      </c>
      <c r="K9" s="69" t="s">
        <v>159</v>
      </c>
      <c r="L9" s="69" t="s">
        <v>159</v>
      </c>
    </row>
    <row r="10" spans="1:12" x14ac:dyDescent="0.25">
      <c r="A10" t="s">
        <v>286</v>
      </c>
      <c r="B10" s="72" t="s">
        <v>300</v>
      </c>
      <c r="D10" s="69" t="s">
        <v>157</v>
      </c>
      <c r="E10" s="69" t="s">
        <v>288</v>
      </c>
      <c r="F10" s="69" t="s">
        <v>288</v>
      </c>
      <c r="G10" s="69" t="s">
        <v>288</v>
      </c>
      <c r="H10" s="69" t="s">
        <v>288</v>
      </c>
      <c r="I10" s="69" t="s">
        <v>288</v>
      </c>
      <c r="J10" s="69" t="s">
        <v>288</v>
      </c>
      <c r="K10" s="69" t="s">
        <v>288</v>
      </c>
      <c r="L10" s="69" t="s">
        <v>288</v>
      </c>
    </row>
    <row r="11" spans="1:12" x14ac:dyDescent="0.25">
      <c r="B11" t="s">
        <v>297</v>
      </c>
      <c r="C11" s="70" t="s">
        <v>289</v>
      </c>
      <c r="D11" s="69" t="s">
        <v>158</v>
      </c>
      <c r="E11" s="69" t="s">
        <v>158</v>
      </c>
      <c r="F11" s="69" t="s">
        <v>158</v>
      </c>
      <c r="G11" s="69" t="s">
        <v>158</v>
      </c>
      <c r="H11" s="69" t="s">
        <v>159</v>
      </c>
      <c r="I11" s="69" t="s">
        <v>158</v>
      </c>
      <c r="J11" s="69" t="s">
        <v>158</v>
      </c>
      <c r="K11" s="69" t="s">
        <v>159</v>
      </c>
      <c r="L11" s="69" t="s">
        <v>159</v>
      </c>
    </row>
    <row r="12" spans="1:12" x14ac:dyDescent="0.25">
      <c r="A12" t="s">
        <v>286</v>
      </c>
      <c r="B12" t="s">
        <v>6</v>
      </c>
      <c r="D12" s="69" t="s">
        <v>159</v>
      </c>
      <c r="E12" s="69" t="s">
        <v>159</v>
      </c>
      <c r="F12" s="69" t="s">
        <v>159</v>
      </c>
      <c r="G12" s="69" t="s">
        <v>159</v>
      </c>
      <c r="H12" s="69" t="s">
        <v>159</v>
      </c>
      <c r="I12" s="69" t="s">
        <v>159</v>
      </c>
      <c r="J12" s="69" t="s">
        <v>159</v>
      </c>
      <c r="K12" s="69" t="s">
        <v>159</v>
      </c>
      <c r="L12" s="69" t="s">
        <v>159</v>
      </c>
    </row>
    <row r="13" spans="1:12" hidden="1" x14ac:dyDescent="0.25"/>
    <row r="15" spans="1:12" x14ac:dyDescent="0.25">
      <c r="D15" t="s">
        <v>290</v>
      </c>
    </row>
  </sheetData>
  <sheetProtection password="C979" sheet="1" objects="1" scenarios="1"/>
  <conditionalFormatting sqref="A1:XFD1048576">
    <cfRule type="expression" dxfId="4" priority="29">
      <formula>LEFT(_xlfn.FORMULATEXT(A1), 1) = "="</formula>
    </cfRule>
  </conditionalFormatting>
  <conditionalFormatting sqref="C9 C5:H5 D6:H13 C11 I5:L13 G5:G13">
    <cfRule type="expression" dxfId="3" priority="327">
      <formula>IFERROR(IF(C5 &gt; OFFSET($B$4, MATCH(C$4, $B$7:$B$12, 0), MATCH($B5,$D$4:$L$4,0)), TRUE, FALSE), FALSE)</formula>
    </cfRule>
    <cfRule type="expression" dxfId="2" priority="328">
      <formula>LEN(C5) &lt;&gt; 7</formula>
    </cfRule>
    <cfRule type="expression" dxfId="1" priority="329">
      <formula>C5="invalid"</formula>
    </cfRule>
    <cfRule type="expression" dxfId="0" priority="330">
      <formula>C5=""</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K107"/>
  <sheetViews>
    <sheetView showGridLines="0" view="pageBreakPreview" topLeftCell="I1" zoomScaleNormal="142" zoomScaleSheetLayoutView="100" workbookViewId="0">
      <selection activeCell="AV3" sqref="AV3:CF3"/>
    </sheetView>
  </sheetViews>
  <sheetFormatPr defaultColWidth="8.85546875" defaultRowHeight="15" x14ac:dyDescent="0.25"/>
  <cols>
    <col min="1" max="8" width="0.85546875" style="4" hidden="1" customWidth="1"/>
    <col min="9" max="136" width="0.85546875" style="4" customWidth="1"/>
    <col min="137" max="137" width="2.42578125" style="4" customWidth="1"/>
    <col min="138" max="138" width="8.28515625" style="4" customWidth="1"/>
    <col min="139" max="139" width="2.7109375" style="4" customWidth="1"/>
    <col min="140" max="140" width="13.42578125" style="4" customWidth="1"/>
    <col min="141" max="141" width="12.7109375" style="4" customWidth="1"/>
    <col min="142" max="142" width="0.85546875" style="4" customWidth="1"/>
    <col min="143" max="143" width="7.140625" style="4" bestFit="1" customWidth="1"/>
    <col min="144" max="144" width="6.5703125" style="4" customWidth="1"/>
    <col min="145" max="145" width="40.5703125" style="4" customWidth="1"/>
    <col min="146" max="146" width="6" style="4" hidden="1" customWidth="1"/>
    <col min="147" max="147" width="3.42578125" style="4" hidden="1" customWidth="1"/>
    <col min="148" max="148" width="5.140625" style="4" hidden="1" customWidth="1"/>
    <col min="149" max="152" width="0.85546875" style="4" hidden="1" customWidth="1"/>
    <col min="153" max="153" width="7" style="4" hidden="1" customWidth="1"/>
    <col min="154" max="183" width="0.85546875" style="4" hidden="1" customWidth="1"/>
    <col min="184" max="184" width="2.28515625" style="4" hidden="1" customWidth="1"/>
    <col min="185" max="186" width="13.5703125" style="4" hidden="1" customWidth="1"/>
    <col min="187" max="187" width="12" style="4" hidden="1" customWidth="1"/>
    <col min="188" max="192" width="8.85546875" style="4" hidden="1" customWidth="1"/>
    <col min="193" max="194" width="8.85546875" style="4" customWidth="1"/>
    <col min="195" max="16384" width="8.85546875" style="4"/>
  </cols>
  <sheetData>
    <row r="1" spans="9:187" ht="17.25" x14ac:dyDescent="0.25">
      <c r="I1" s="194" t="s">
        <v>563</v>
      </c>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4" t="s">
        <v>355</v>
      </c>
    </row>
    <row r="2" spans="9:187" s="37" customFormat="1" ht="30" customHeight="1" x14ac:dyDescent="0.2">
      <c r="I2" s="200" t="s">
        <v>114</v>
      </c>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2" t="s">
        <v>9</v>
      </c>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1" t="s">
        <v>386</v>
      </c>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141" t="s">
        <v>387</v>
      </c>
      <c r="DS2" s="142"/>
      <c r="DT2" s="142"/>
      <c r="DU2" s="142"/>
      <c r="DV2" s="142"/>
      <c r="DW2" s="142"/>
      <c r="DX2" s="142"/>
      <c r="DY2" s="142"/>
      <c r="DZ2" s="142"/>
      <c r="EA2" s="142"/>
      <c r="EB2" s="142"/>
      <c r="EC2" s="142"/>
      <c r="ED2" s="142"/>
      <c r="EE2" s="142"/>
      <c r="EF2" s="142"/>
      <c r="EG2" s="142"/>
    </row>
    <row r="3" spans="9:187" s="37" customFormat="1" ht="12.75" customHeight="1" x14ac:dyDescent="0.2">
      <c r="I3" s="164" t="s">
        <v>34</v>
      </c>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57"/>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57"/>
      <c r="DR3" s="143"/>
      <c r="DS3" s="143"/>
      <c r="DT3" s="143"/>
      <c r="DU3" s="143"/>
      <c r="DV3" s="143"/>
      <c r="DW3" s="143"/>
      <c r="DX3" s="143"/>
      <c r="DY3" s="143"/>
      <c r="DZ3" s="143"/>
      <c r="EA3" s="143"/>
      <c r="EB3" s="143"/>
      <c r="EC3" s="143"/>
      <c r="ED3" s="143"/>
      <c r="EE3" s="143"/>
      <c r="EF3" s="143"/>
      <c r="EG3" s="143"/>
      <c r="EH3" s="139" t="s">
        <v>229</v>
      </c>
      <c r="EI3" s="140"/>
      <c r="EJ3" s="140"/>
      <c r="EK3" s="140"/>
      <c r="EL3" s="140"/>
      <c r="EM3" s="140"/>
      <c r="EN3" s="140"/>
      <c r="EO3" s="140"/>
    </row>
    <row r="4" spans="9:187" s="37" customFormat="1" ht="12.75" customHeight="1" x14ac:dyDescent="0.2">
      <c r="I4" s="164" t="s">
        <v>30</v>
      </c>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57"/>
      <c r="DR4" s="143"/>
      <c r="DS4" s="143"/>
      <c r="DT4" s="143"/>
      <c r="DU4" s="143"/>
      <c r="DV4" s="143"/>
      <c r="DW4" s="143"/>
      <c r="DX4" s="143"/>
      <c r="DY4" s="143"/>
      <c r="DZ4" s="143"/>
      <c r="EA4" s="143"/>
      <c r="EB4" s="143"/>
      <c r="EC4" s="143"/>
      <c r="ED4" s="143"/>
      <c r="EE4" s="143"/>
      <c r="EF4" s="143"/>
      <c r="EG4" s="143"/>
      <c r="EH4" s="139"/>
      <c r="EI4" s="140"/>
      <c r="EJ4" s="140"/>
      <c r="EK4" s="140"/>
      <c r="EL4" s="140"/>
      <c r="EM4" s="140"/>
      <c r="EN4" s="140"/>
      <c r="EO4" s="140"/>
    </row>
    <row r="5" spans="9:187" s="37" customFormat="1" ht="12.75" customHeight="1" x14ac:dyDescent="0.2">
      <c r="I5" s="164" t="s">
        <v>31</v>
      </c>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57"/>
      <c r="DR5" s="144"/>
      <c r="DS5" s="144"/>
      <c r="DT5" s="144"/>
      <c r="DU5" s="144"/>
      <c r="DV5" s="144"/>
      <c r="DW5" s="144"/>
      <c r="DX5" s="144"/>
      <c r="DY5" s="144"/>
      <c r="DZ5" s="144"/>
      <c r="EA5" s="144"/>
      <c r="EB5" s="144"/>
      <c r="EC5" s="144"/>
      <c r="ED5" s="144"/>
      <c r="EE5" s="144"/>
      <c r="EF5" s="144"/>
      <c r="EG5" s="144"/>
      <c r="EH5" s="139"/>
      <c r="EI5" s="140"/>
      <c r="EJ5" s="140"/>
      <c r="EK5" s="140"/>
      <c r="EL5" s="140"/>
      <c r="EM5" s="140"/>
      <c r="EN5" s="140"/>
      <c r="EO5" s="140"/>
    </row>
    <row r="6" spans="9:187" s="37" customFormat="1" ht="12.75" customHeight="1" x14ac:dyDescent="0.2">
      <c r="I6" s="153" t="s">
        <v>168</v>
      </c>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5"/>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0"/>
      <c r="DR6" s="145" t="s">
        <v>533</v>
      </c>
      <c r="DS6" s="145"/>
      <c r="DT6" s="145"/>
      <c r="DU6" s="145"/>
      <c r="DV6" s="145"/>
      <c r="DW6" s="145"/>
      <c r="DX6" s="145"/>
      <c r="DY6" s="145"/>
      <c r="DZ6" s="145"/>
      <c r="EA6" s="145"/>
      <c r="EB6" s="145"/>
      <c r="EC6" s="145"/>
      <c r="ED6" s="145"/>
      <c r="EE6" s="145"/>
      <c r="EF6" s="145"/>
      <c r="EG6" s="145"/>
      <c r="EH6" s="139"/>
      <c r="EI6" s="140"/>
      <c r="EJ6" s="140"/>
      <c r="EK6" s="140"/>
      <c r="EL6" s="140"/>
      <c r="EM6" s="140"/>
      <c r="EN6" s="140"/>
      <c r="EO6" s="140"/>
      <c r="GC6" s="37" t="e">
        <f ca="1">OFFSET(Status[[#Headers],[Mil?]], MATCH($AV$6, Status[Sponsor], 0), 0) &amp; ""</f>
        <v>#N/A</v>
      </c>
      <c r="GD6" s="37" t="e">
        <f ca="1">OFFSET(Status[[#Headers],[Mil?]], MATCH($CG$6, Status[Spouse], 0), 0) &amp; ""</f>
        <v>#N/A</v>
      </c>
    </row>
    <row r="7" spans="9:187" s="37" customFormat="1" ht="12.75" customHeight="1" x14ac:dyDescent="0.2">
      <c r="I7" s="153" t="s">
        <v>169</v>
      </c>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5"/>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0"/>
      <c r="DR7" s="145"/>
      <c r="DS7" s="145"/>
      <c r="DT7" s="145"/>
      <c r="DU7" s="145"/>
      <c r="DV7" s="145"/>
      <c r="DW7" s="145"/>
      <c r="DX7" s="145"/>
      <c r="DY7" s="145"/>
      <c r="DZ7" s="145"/>
      <c r="EA7" s="145"/>
      <c r="EB7" s="145"/>
      <c r="EC7" s="145"/>
      <c r="ED7" s="145"/>
      <c r="EE7" s="145"/>
      <c r="EF7" s="145"/>
      <c r="EG7" s="145"/>
      <c r="EH7" s="139"/>
      <c r="EI7" s="140"/>
      <c r="EJ7" s="140"/>
      <c r="EK7" s="140"/>
      <c r="EL7" s="140"/>
      <c r="EM7" s="140"/>
      <c r="EN7" s="140"/>
      <c r="EO7" s="140"/>
      <c r="ER7" s="37" t="s">
        <v>676</v>
      </c>
      <c r="GC7" s="37" t="str">
        <f ca="1">IFERROR(OFFSET(BAH[[#Headers],[Type]], MATCH(Sponsor_Rank, BAH[Rank], 0), 0), IFERROR(OFFSET(Status[[#Headers],[BAS]], MATCH($AV$6, Status[Status], 0), 0),"Space Available")) &amp; ""</f>
        <v>Space Available</v>
      </c>
      <c r="GD7" s="37" t="str">
        <f ca="1">IFERROR(OFFSET(BAH[[#Headers],[Type]], MATCH(Spouse_Rank, BAH[Rank], 0), 0), IFERROR(OFFSET(Status[[#Headers],[BAS]], MATCH($CG$6, Status[Status], 0), 0),"Space Available")) &amp; ""</f>
        <v>Space Available</v>
      </c>
      <c r="GE7" s="37" t="s">
        <v>361</v>
      </c>
    </row>
    <row r="8" spans="9:187" s="37" customFormat="1" ht="12.75" customHeight="1" x14ac:dyDescent="0.2">
      <c r="I8" s="153" t="s">
        <v>107</v>
      </c>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5"/>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8" t="s">
        <v>41</v>
      </c>
      <c r="DS8" s="158"/>
      <c r="DT8" s="158"/>
      <c r="DU8" s="158"/>
      <c r="DV8" s="158"/>
      <c r="DW8" s="158"/>
      <c r="DX8" s="158"/>
      <c r="DY8" s="158"/>
      <c r="DZ8" s="158"/>
      <c r="EA8" s="158"/>
      <c r="EB8" s="158"/>
      <c r="EC8" s="158"/>
      <c r="ED8" s="158"/>
      <c r="EE8" s="158"/>
      <c r="EF8" s="158"/>
      <c r="EG8" s="159"/>
      <c r="EH8" s="296" t="s">
        <v>403</v>
      </c>
      <c r="EI8" s="297"/>
      <c r="EJ8" s="297"/>
      <c r="EK8" s="80"/>
      <c r="EL8" s="80"/>
      <c r="EM8" s="80"/>
      <c r="EN8" s="80"/>
      <c r="EO8" s="80"/>
      <c r="EP8" s="37">
        <f>LEN(AV8)</f>
        <v>0</v>
      </c>
      <c r="ER8" s="37" t="str">
        <f>_xlfn.XLOOKUP(AV6, Status[Status], Status[_BAS], "n/a", 0) &amp; ""</f>
        <v>N</v>
      </c>
      <c r="EW8" s="37" t="str">
        <f>_xlfn.XLOOKUP(CG6, Status[Status], Status[_BAS], "n/a", 0) &amp; ""</f>
        <v>N</v>
      </c>
      <c r="GC8" s="66" t="str">
        <f ca="1">IF(IFERROR(OFFSET(Lists!$AP$1, MATCH($AV$10 &amp; "", JobDetails[Job details], 0), 0), "") = "Z-STUFT", "YES", "NO")</f>
        <v>NO</v>
      </c>
      <c r="GD8" s="66" t="str">
        <f ca="1">IF(IFERROR(OFFSET(Lists!$AP$1, MATCH($CG$10 &amp; "", JobDetails[Job details], 0), 0), "") = "Z-STUFT", "YES", "NO")</f>
        <v>NO</v>
      </c>
      <c r="GE8" s="37" t="s">
        <v>364</v>
      </c>
    </row>
    <row r="9" spans="9:187" s="37" customFormat="1" ht="12.75" customHeight="1" x14ac:dyDescent="0.2">
      <c r="I9" s="153" t="s">
        <v>674</v>
      </c>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5"/>
      <c r="AV9" s="150"/>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2"/>
      <c r="CG9" s="150"/>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2"/>
      <c r="DR9" s="160"/>
      <c r="DS9" s="160"/>
      <c r="DT9" s="160"/>
      <c r="DU9" s="160"/>
      <c r="DV9" s="160"/>
      <c r="DW9" s="160"/>
      <c r="DX9" s="160"/>
      <c r="DY9" s="160"/>
      <c r="DZ9" s="160"/>
      <c r="EA9" s="160"/>
      <c r="EB9" s="160"/>
      <c r="EC9" s="160"/>
      <c r="ED9" s="160"/>
      <c r="EE9" s="160"/>
      <c r="EF9" s="160"/>
      <c r="EG9" s="161"/>
      <c r="EH9" s="296"/>
      <c r="EI9" s="297"/>
      <c r="EJ9" s="297"/>
      <c r="EK9" s="80"/>
      <c r="EL9" s="80"/>
      <c r="EM9" s="80"/>
      <c r="EN9" s="80"/>
      <c r="EO9" s="80"/>
      <c r="ER9" s="37" t="s">
        <v>683</v>
      </c>
      <c r="GC9" s="66"/>
      <c r="GD9" s="66"/>
    </row>
    <row r="10" spans="9:187" s="37" customFormat="1" ht="12.75" customHeight="1" x14ac:dyDescent="0.2">
      <c r="I10" s="167" t="s">
        <v>337</v>
      </c>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50"/>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2"/>
      <c r="CG10" s="150"/>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2"/>
      <c r="DR10" s="160"/>
      <c r="DS10" s="160"/>
      <c r="DT10" s="160"/>
      <c r="DU10" s="160"/>
      <c r="DV10" s="160"/>
      <c r="DW10" s="160"/>
      <c r="DX10" s="160"/>
      <c r="DY10" s="160"/>
      <c r="DZ10" s="160"/>
      <c r="EA10" s="160"/>
      <c r="EB10" s="160"/>
      <c r="EC10" s="160"/>
      <c r="ED10" s="160"/>
      <c r="EE10" s="160"/>
      <c r="EF10" s="160"/>
      <c r="EG10" s="161"/>
      <c r="EH10" s="296"/>
      <c r="EI10" s="297"/>
      <c r="EJ10" s="297"/>
      <c r="ER10" s="37" t="str">
        <f>IF(ER8 = "N", "N", IF(AV15 + 0 &gt; 0, "Y", "N"))</f>
        <v>N</v>
      </c>
      <c r="EW10" s="37" t="str">
        <f>IF(EW8 = "N", "N", IF(CG15 + 0 &gt; 0, "Y", "N"))</f>
        <v>N</v>
      </c>
      <c r="GC10" s="67" t="str">
        <f ca="1">IF(IFERROR(OFFSET(Lists!$AP$1, MATCH($AV$10 &amp; "", JobDetails[Job details], 0), 0), "") = "Z-UNEMSK", "YES", "NO")</f>
        <v>NO</v>
      </c>
      <c r="GD10" s="67" t="str">
        <f ca="1">IF(IFERROR(OFFSET(Lists!$AP$1, MATCH($CG$10 &amp; "", JobDetails[Job details], 0), 0), "") = "Z-UNEMSK", "YES", "NO")</f>
        <v>NO</v>
      </c>
      <c r="GE10" s="37" t="s">
        <v>365</v>
      </c>
    </row>
    <row r="11" spans="9:187" s="37" customFormat="1" ht="12.75" customHeight="1" x14ac:dyDescent="0.2">
      <c r="I11" s="153" t="s">
        <v>356</v>
      </c>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5"/>
      <c r="AV11" s="150"/>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2"/>
      <c r="CG11" s="150"/>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2"/>
      <c r="DR11" s="160"/>
      <c r="DS11" s="160"/>
      <c r="DT11" s="160"/>
      <c r="DU11" s="160"/>
      <c r="DV11" s="160"/>
      <c r="DW11" s="160"/>
      <c r="DX11" s="160"/>
      <c r="DY11" s="160"/>
      <c r="DZ11" s="160"/>
      <c r="EA11" s="160"/>
      <c r="EB11" s="160"/>
      <c r="EC11" s="160"/>
      <c r="ED11" s="160"/>
      <c r="EE11" s="160"/>
      <c r="EF11" s="160"/>
      <c r="EG11" s="161"/>
      <c r="EH11" s="296"/>
      <c r="EI11" s="297"/>
      <c r="EJ11" s="297"/>
      <c r="GC11" s="37">
        <f ca="1">IFERROR(OFFSET(BAH[[#Headers],[Order]], MATCH(MID($AV$8, IFERROR(FIND("/", $AV$8)+1, 1), 99), BAH[Rank], 0), 0), 0) * 100 + IFERROR(LEFT($AV$11, 2) + 0, 0)</f>
        <v>0</v>
      </c>
      <c r="GD11" s="37">
        <f ca="1">IFERROR(OFFSET(BAH[[#Headers],[Order]], MATCH(MID($CG$8, IFERROR(FIND("/", $CG$8)+1, 1), 99), BAH[Rank], 0), 0), 0) * 100 + IFERROR(LEFT($CG$11, 2) + 0, 0)</f>
        <v>0</v>
      </c>
      <c r="GE11" s="37" t="s">
        <v>363</v>
      </c>
    </row>
    <row r="12" spans="9:187" s="37" customFormat="1" ht="12.75" customHeight="1" x14ac:dyDescent="0.25">
      <c r="I12" s="146" t="s">
        <v>357</v>
      </c>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8"/>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60"/>
      <c r="DS12" s="160"/>
      <c r="DT12" s="160"/>
      <c r="DU12" s="160"/>
      <c r="DV12" s="160"/>
      <c r="DW12" s="160"/>
      <c r="DX12" s="160"/>
      <c r="DY12" s="160"/>
      <c r="DZ12" s="160"/>
      <c r="EA12" s="160"/>
      <c r="EB12" s="160"/>
      <c r="EC12" s="160"/>
      <c r="ED12" s="160"/>
      <c r="EE12" s="160"/>
      <c r="EF12" s="160"/>
      <c r="EG12" s="161"/>
      <c r="EH12" s="296"/>
      <c r="EI12" s="297"/>
      <c r="EJ12" s="297"/>
      <c r="ER12" s="83" t="str">
        <f>IF(ER8 = "Y", AV8, "")</f>
        <v/>
      </c>
      <c r="ES12" s="4"/>
      <c r="ET12" s="4"/>
      <c r="EU12" s="4"/>
      <c r="EV12" s="4"/>
      <c r="EW12" s="83" t="str">
        <f>IF(EW8 = "Y", CG8, "")</f>
        <v/>
      </c>
    </row>
    <row r="13" spans="9:187" s="37" customFormat="1" ht="12.75" customHeight="1" x14ac:dyDescent="0.2">
      <c r="I13" s="153" t="s">
        <v>397</v>
      </c>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5"/>
      <c r="AV13" s="150"/>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2"/>
      <c r="CG13" s="150"/>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2"/>
      <c r="DR13" s="162"/>
      <c r="DS13" s="162"/>
      <c r="DT13" s="162"/>
      <c r="DU13" s="162"/>
      <c r="DV13" s="162"/>
      <c r="DW13" s="162"/>
      <c r="DX13" s="162"/>
      <c r="DY13" s="162"/>
      <c r="DZ13" s="162"/>
      <c r="EA13" s="162"/>
      <c r="EB13" s="162"/>
      <c r="EC13" s="162"/>
      <c r="ED13" s="162"/>
      <c r="EE13" s="162"/>
      <c r="EF13" s="162"/>
      <c r="EG13" s="163"/>
      <c r="EH13" s="82"/>
      <c r="EI13" s="81"/>
      <c r="ER13" s="5" t="str">
        <f ca="1">YEAR(IF(Date_Override + 0 &gt; 0, Date_Override, TODAY())) &amp; IF(FIND("/", ER12 &amp; "xxxxx/") = 4, MID(ER12, 5, 999), ER12)</f>
        <v>2023</v>
      </c>
      <c r="EW13" s="5" t="str">
        <f ca="1">YEAR(IF(Date_Override + 0 &gt; 0, Date_Override, TODAY())) &amp; IF(FIND("/", EW12 &amp; "xxxxx/") = 4, MID(EW12, 5, 999), EW12)</f>
        <v>2023</v>
      </c>
    </row>
    <row r="14" spans="9:187" ht="18.75" x14ac:dyDescent="0.25">
      <c r="I14" s="165" t="s">
        <v>53</v>
      </c>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75"/>
      <c r="DS14" s="175"/>
      <c r="DT14" s="175"/>
      <c r="DU14" s="175"/>
      <c r="DV14" s="175"/>
      <c r="DW14" s="175"/>
      <c r="DX14" s="175"/>
      <c r="DY14" s="175"/>
      <c r="DZ14" s="175"/>
      <c r="EA14" s="175"/>
      <c r="EB14" s="175"/>
      <c r="EC14" s="175"/>
      <c r="ED14" s="175"/>
      <c r="EE14" s="175"/>
      <c r="EF14" s="175"/>
      <c r="EG14" s="176"/>
      <c r="EM14" s="60" t="s">
        <v>685</v>
      </c>
      <c r="ER14" s="37" t="s">
        <v>687</v>
      </c>
      <c r="ES14" s="37"/>
      <c r="ET14" s="37"/>
      <c r="EU14" s="37"/>
      <c r="EV14" s="37"/>
      <c r="EW14" s="37"/>
      <c r="GC14" s="37"/>
      <c r="GE14" s="37" t="s">
        <v>362</v>
      </c>
    </row>
    <row r="15" spans="9:187" s="37" customFormat="1" ht="12.75" customHeight="1" x14ac:dyDescent="0.2">
      <c r="I15" s="167" t="s">
        <v>4</v>
      </c>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72"/>
      <c r="AW15" s="172"/>
      <c r="AX15" s="172"/>
      <c r="AY15" s="172"/>
      <c r="AZ15" s="172"/>
      <c r="BA15" s="172"/>
      <c r="BB15" s="172"/>
      <c r="BC15" s="172"/>
      <c r="BD15" s="172"/>
      <c r="BE15" s="172"/>
      <c r="BF15" s="172"/>
      <c r="BG15" s="172"/>
      <c r="BH15" s="172"/>
      <c r="BI15" s="172"/>
      <c r="BJ15" s="172"/>
      <c r="BK15" s="172"/>
      <c r="BL15" s="168" t="s">
        <v>46</v>
      </c>
      <c r="BM15" s="169"/>
      <c r="BN15" s="169"/>
      <c r="BO15" s="169"/>
      <c r="BP15" s="169"/>
      <c r="BQ15" s="169"/>
      <c r="BR15" s="169"/>
      <c r="BS15" s="169"/>
      <c r="BT15" s="169"/>
      <c r="BU15" s="169"/>
      <c r="BV15" s="169"/>
      <c r="BW15" s="169"/>
      <c r="BX15" s="169"/>
      <c r="BY15" s="169"/>
      <c r="BZ15" s="169"/>
      <c r="CA15" s="169"/>
      <c r="CB15" s="169"/>
      <c r="CC15" s="169"/>
      <c r="CD15" s="169"/>
      <c r="CE15" s="169"/>
      <c r="CF15" s="170"/>
      <c r="CG15" s="172"/>
      <c r="CH15" s="172"/>
      <c r="CI15" s="172"/>
      <c r="CJ15" s="172"/>
      <c r="CK15" s="172"/>
      <c r="CL15" s="172"/>
      <c r="CM15" s="172"/>
      <c r="CN15" s="172"/>
      <c r="CO15" s="172"/>
      <c r="CP15" s="172"/>
      <c r="CQ15" s="172"/>
      <c r="CR15" s="172"/>
      <c r="CS15" s="172"/>
      <c r="CT15" s="172"/>
      <c r="CU15" s="172"/>
      <c r="CV15" s="172"/>
      <c r="CW15" s="168" t="s">
        <v>47</v>
      </c>
      <c r="CX15" s="169"/>
      <c r="CY15" s="169"/>
      <c r="CZ15" s="169"/>
      <c r="DA15" s="169"/>
      <c r="DB15" s="169"/>
      <c r="DC15" s="169"/>
      <c r="DD15" s="169"/>
      <c r="DE15" s="169"/>
      <c r="DF15" s="169"/>
      <c r="DG15" s="169"/>
      <c r="DH15" s="169"/>
      <c r="DI15" s="169"/>
      <c r="DJ15" s="169"/>
      <c r="DK15" s="169"/>
      <c r="DL15" s="169"/>
      <c r="DM15" s="169"/>
      <c r="DN15" s="169"/>
      <c r="DO15" s="169"/>
      <c r="DP15" s="169"/>
      <c r="DQ15" s="171"/>
      <c r="DR15" s="185">
        <f>AV15 + CG15</f>
        <v>0</v>
      </c>
      <c r="DS15" s="186"/>
      <c r="DT15" s="186"/>
      <c r="DU15" s="186"/>
      <c r="DV15" s="186"/>
      <c r="DW15" s="186"/>
      <c r="DX15" s="186"/>
      <c r="DY15" s="186"/>
      <c r="DZ15" s="186"/>
      <c r="EA15" s="186"/>
      <c r="EB15" s="186"/>
      <c r="EC15" s="186"/>
      <c r="ED15" s="186"/>
      <c r="EE15" s="186"/>
      <c r="EF15" s="186"/>
      <c r="EG15" s="186"/>
      <c r="EI15" s="46">
        <v>12</v>
      </c>
      <c r="EJ15" s="38">
        <f>IFERROR(AV15+0,0) * $EI15</f>
        <v>0</v>
      </c>
      <c r="EK15" s="38">
        <f>IFERROR(CG15+0,0) * $EI15</f>
        <v>0</v>
      </c>
      <c r="EM15" s="39" t="s">
        <v>120</v>
      </c>
      <c r="EN15" s="37" t="s">
        <v>126</v>
      </c>
      <c r="ER15" s="37" t="str">
        <f ca="1">_xlfn.XLOOKUP(ER13, BAH[Lookup], BAH[BAS], "n/a", 0)</f>
        <v>n/a</v>
      </c>
      <c r="EW15" s="37" t="str">
        <f ca="1">_xlfn.XLOOKUP(EW13, BAH[Lookup], BAH[BAS], "n/a", 0)</f>
        <v>n/a</v>
      </c>
      <c r="GC15" s="37" t="str">
        <f ca="1">OFFSET(StatusBranchGrade[[#Headers],[Group]], MATCH(SUBSTITUTE(SUBSTITUTE(SUBSTITUTE($AV$6 &amp; "  /  " &amp; $AV$7 &amp; "  /  " &amp; $AV$8 &amp; ";", "  /  ;", ";"), "  /  ;", ";"), ";", ""), StatusBranchGrade[Sponsor], 0), 0) &amp; ""</f>
        <v>Not Allowed</v>
      </c>
      <c r="GD15" s="37" t="str">
        <f ca="1">IF($AV$6 = $CG$6, "Dual", IF($GC$15 = OFFSET(StatusBranchGrade[[#Headers],[Group]], $GD$18, 0), "Dual", OFFSET(StatusBranchGrade[[#Headers],[Group]], $GD$18, 0)) )&amp; ""</f>
        <v>Dual</v>
      </c>
      <c r="GE15" s="37" t="s">
        <v>367</v>
      </c>
    </row>
    <row r="16" spans="9:187" s="37" customFormat="1" ht="12.75" customHeight="1" x14ac:dyDescent="0.2">
      <c r="I16" s="181" t="s">
        <v>671</v>
      </c>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2"/>
      <c r="AW16" s="183"/>
      <c r="AX16" s="183"/>
      <c r="AY16" s="183"/>
      <c r="AZ16" s="183"/>
      <c r="BA16" s="183"/>
      <c r="BB16" s="183"/>
      <c r="BC16" s="183"/>
      <c r="BD16" s="183"/>
      <c r="BE16" s="183"/>
      <c r="BF16" s="183"/>
      <c r="BG16" s="183"/>
      <c r="BH16" s="183"/>
      <c r="BI16" s="183"/>
      <c r="BJ16" s="183"/>
      <c r="BK16" s="184"/>
      <c r="BL16" s="168" t="s">
        <v>46</v>
      </c>
      <c r="BM16" s="169"/>
      <c r="BN16" s="169"/>
      <c r="BO16" s="169"/>
      <c r="BP16" s="169"/>
      <c r="BQ16" s="169"/>
      <c r="BR16" s="169"/>
      <c r="BS16" s="169"/>
      <c r="BT16" s="169"/>
      <c r="BU16" s="169"/>
      <c r="BV16" s="169"/>
      <c r="BW16" s="169"/>
      <c r="BX16" s="169"/>
      <c r="BY16" s="169"/>
      <c r="BZ16" s="169"/>
      <c r="CA16" s="169"/>
      <c r="CB16" s="169"/>
      <c r="CC16" s="169"/>
      <c r="CD16" s="169"/>
      <c r="CE16" s="169"/>
      <c r="CF16" s="170"/>
      <c r="CG16" s="182"/>
      <c r="CH16" s="183"/>
      <c r="CI16" s="183"/>
      <c r="CJ16" s="183"/>
      <c r="CK16" s="183"/>
      <c r="CL16" s="183"/>
      <c r="CM16" s="183"/>
      <c r="CN16" s="183"/>
      <c r="CO16" s="183"/>
      <c r="CP16" s="183"/>
      <c r="CQ16" s="183"/>
      <c r="CR16" s="183"/>
      <c r="CS16" s="183"/>
      <c r="CT16" s="183"/>
      <c r="CU16" s="183"/>
      <c r="CV16" s="184"/>
      <c r="CW16" s="168" t="s">
        <v>47</v>
      </c>
      <c r="CX16" s="169"/>
      <c r="CY16" s="169"/>
      <c r="CZ16" s="169"/>
      <c r="DA16" s="169"/>
      <c r="DB16" s="169"/>
      <c r="DC16" s="169"/>
      <c r="DD16" s="169"/>
      <c r="DE16" s="169"/>
      <c r="DF16" s="169"/>
      <c r="DG16" s="169"/>
      <c r="DH16" s="169"/>
      <c r="DI16" s="169"/>
      <c r="DJ16" s="169"/>
      <c r="DK16" s="169"/>
      <c r="DL16" s="169"/>
      <c r="DM16" s="169"/>
      <c r="DN16" s="169"/>
      <c r="DO16" s="169"/>
      <c r="DP16" s="169"/>
      <c r="DQ16" s="171"/>
      <c r="DR16" s="173"/>
      <c r="DS16" s="174"/>
      <c r="DT16" s="174"/>
      <c r="DU16" s="174"/>
      <c r="DV16" s="174"/>
      <c r="DW16" s="174"/>
      <c r="DX16" s="174"/>
      <c r="DY16" s="174"/>
      <c r="DZ16" s="174"/>
      <c r="EA16" s="174"/>
      <c r="EB16" s="174"/>
      <c r="EC16" s="174"/>
      <c r="ED16" s="174"/>
      <c r="EE16" s="174"/>
      <c r="EF16" s="174"/>
      <c r="EG16" s="174"/>
      <c r="EI16" s="46"/>
      <c r="EJ16" s="38"/>
      <c r="EK16" s="38"/>
      <c r="EM16" s="39"/>
    </row>
    <row r="17" spans="9:187" s="37" customFormat="1" ht="12.75" customHeight="1" x14ac:dyDescent="0.25">
      <c r="I17" s="167" t="s">
        <v>29</v>
      </c>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78" t="str">
        <f ca="1">IF(AV16 &lt;&gt; "", IFERROR(AV16 + 0, "Err"), ER26)</f>
        <v>n/a</v>
      </c>
      <c r="AW17" s="179"/>
      <c r="AX17" s="179"/>
      <c r="AY17" s="179"/>
      <c r="AZ17" s="179"/>
      <c r="BA17" s="179"/>
      <c r="BB17" s="179"/>
      <c r="BC17" s="179"/>
      <c r="BD17" s="179"/>
      <c r="BE17" s="179"/>
      <c r="BF17" s="179"/>
      <c r="BG17" s="179"/>
      <c r="BH17" s="179"/>
      <c r="BI17" s="179"/>
      <c r="BJ17" s="179"/>
      <c r="BK17" s="180"/>
      <c r="BL17" s="168" t="s">
        <v>46</v>
      </c>
      <c r="BM17" s="169"/>
      <c r="BN17" s="169"/>
      <c r="BO17" s="169"/>
      <c r="BP17" s="169"/>
      <c r="BQ17" s="169"/>
      <c r="BR17" s="169"/>
      <c r="BS17" s="169"/>
      <c r="BT17" s="169"/>
      <c r="BU17" s="169"/>
      <c r="BV17" s="169"/>
      <c r="BW17" s="169"/>
      <c r="BX17" s="169"/>
      <c r="BY17" s="169"/>
      <c r="BZ17" s="169"/>
      <c r="CA17" s="169"/>
      <c r="CB17" s="169"/>
      <c r="CC17" s="169"/>
      <c r="CD17" s="169"/>
      <c r="CE17" s="169"/>
      <c r="CF17" s="170"/>
      <c r="CG17" s="178">
        <f ca="1">IF(CG16 &lt;&gt; "", IFERROR(CG16 + 0, "Err"), EW26)</f>
        <v>0</v>
      </c>
      <c r="CH17" s="179"/>
      <c r="CI17" s="179"/>
      <c r="CJ17" s="179"/>
      <c r="CK17" s="179"/>
      <c r="CL17" s="179"/>
      <c r="CM17" s="179"/>
      <c r="CN17" s="179"/>
      <c r="CO17" s="179"/>
      <c r="CP17" s="179"/>
      <c r="CQ17" s="179"/>
      <c r="CR17" s="179"/>
      <c r="CS17" s="179"/>
      <c r="CT17" s="179"/>
      <c r="CU17" s="179"/>
      <c r="CV17" s="180"/>
      <c r="CW17" s="168" t="s">
        <v>47</v>
      </c>
      <c r="CX17" s="169"/>
      <c r="CY17" s="169"/>
      <c r="CZ17" s="169"/>
      <c r="DA17" s="169"/>
      <c r="DB17" s="169"/>
      <c r="DC17" s="169"/>
      <c r="DD17" s="169"/>
      <c r="DE17" s="169"/>
      <c r="DF17" s="169"/>
      <c r="DG17" s="169"/>
      <c r="DH17" s="169"/>
      <c r="DI17" s="169"/>
      <c r="DJ17" s="169"/>
      <c r="DK17" s="169"/>
      <c r="DL17" s="169"/>
      <c r="DM17" s="169"/>
      <c r="DN17" s="169"/>
      <c r="DO17" s="169"/>
      <c r="DP17" s="169"/>
      <c r="DQ17" s="171"/>
      <c r="DR17" s="185">
        <f ca="1">IFERROR(AV17+0,0) + IFERROR(CG17+0,0)</f>
        <v>0</v>
      </c>
      <c r="DS17" s="186"/>
      <c r="DT17" s="186"/>
      <c r="DU17" s="186"/>
      <c r="DV17" s="186"/>
      <c r="DW17" s="186"/>
      <c r="DX17" s="186"/>
      <c r="DY17" s="186"/>
      <c r="DZ17" s="186"/>
      <c r="EA17" s="186"/>
      <c r="EB17" s="186"/>
      <c r="EC17" s="186"/>
      <c r="ED17" s="186"/>
      <c r="EE17" s="186"/>
      <c r="EF17" s="186"/>
      <c r="EG17" s="186"/>
      <c r="EI17" s="46">
        <v>12</v>
      </c>
      <c r="EJ17" s="38">
        <f ca="1">IFERROR(AV17+0,0) * $EI17</f>
        <v>0</v>
      </c>
      <c r="EK17" s="38">
        <f t="shared" ref="EK17:EK24" ca="1" si="0">IFERROR(CG17+0,0) * $EI17</f>
        <v>0</v>
      </c>
      <c r="EM17" s="39" t="s">
        <v>121</v>
      </c>
      <c r="EN17" s="37" t="s">
        <v>126</v>
      </c>
      <c r="ER17" s="83" t="str">
        <f>IF(ER20 = "C", _xlfn.XLOOKUP(AV9, CivBAH[All Ranks], CivBAH[Military], "Err", 0), AV8) &amp; ""</f>
        <v/>
      </c>
      <c r="ES17" s="4"/>
      <c r="ET17" s="4"/>
      <c r="EU17" s="4"/>
      <c r="EV17" s="4"/>
      <c r="EW17" s="83" t="str">
        <f>IF(EW20 = "C", _xlfn.XLOOKUP(CG9, CivBAH[All Ranks], CivBAH[Military], "Err", 0), CG8) &amp; ""</f>
        <v/>
      </c>
      <c r="GC17" s="37" t="str">
        <f ca="1">IFERROR(OFFSET(StatusBranchGrade[[#Headers],[Group]], MATCH(SUBSTITUTE(SUBSTITUTE(SUBSTITUTE($CG$6 &amp; "  /  " &amp; $CG$7 &amp; "  /  " &amp; $CG$8 &amp; ";", "  /  ;", ";"), "  /  ;", ";"), ";", ""), StatusBranchGrade[Sponsor], 0), 0) &amp; "", "")</f>
        <v>Not Allowed</v>
      </c>
      <c r="GD17" s="37" t="str">
        <f ca="1">IF(OR($CG$6 = $AV$6, AND(GC17 = "G/R", GC15 = "Active")), "Dual", IF($AV$15 = OFFSET(StatusBranchGrade[[#Headers],[Group]], $GC$18, 0), "Dual", OFFSET(StatusBranchGrade[[#Headers],[Group]], $GC$18, 0)) )&amp; ""</f>
        <v>Dual</v>
      </c>
    </row>
    <row r="18" spans="9:187" s="37" customFormat="1" ht="12.75" customHeight="1" x14ac:dyDescent="0.2">
      <c r="I18" s="167" t="s">
        <v>5</v>
      </c>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77" t="str">
        <f ca="1">IFERROR(ER15, "Unknown date")</f>
        <v>n/a</v>
      </c>
      <c r="AW18" s="177"/>
      <c r="AX18" s="177"/>
      <c r="AY18" s="177"/>
      <c r="AZ18" s="177"/>
      <c r="BA18" s="177"/>
      <c r="BB18" s="177"/>
      <c r="BC18" s="177"/>
      <c r="BD18" s="177"/>
      <c r="BE18" s="177"/>
      <c r="BF18" s="177"/>
      <c r="BG18" s="177"/>
      <c r="BH18" s="177"/>
      <c r="BI18" s="177"/>
      <c r="BJ18" s="177"/>
      <c r="BK18" s="177"/>
      <c r="BL18" s="168" t="s">
        <v>46</v>
      </c>
      <c r="BM18" s="169"/>
      <c r="BN18" s="169"/>
      <c r="BO18" s="169"/>
      <c r="BP18" s="169"/>
      <c r="BQ18" s="169"/>
      <c r="BR18" s="169"/>
      <c r="BS18" s="169"/>
      <c r="BT18" s="169"/>
      <c r="BU18" s="169"/>
      <c r="BV18" s="169"/>
      <c r="BW18" s="169"/>
      <c r="BX18" s="169"/>
      <c r="BY18" s="169"/>
      <c r="BZ18" s="169"/>
      <c r="CA18" s="169"/>
      <c r="CB18" s="169"/>
      <c r="CC18" s="169"/>
      <c r="CD18" s="169"/>
      <c r="CE18" s="169"/>
      <c r="CF18" s="170"/>
      <c r="CG18" s="177" t="str">
        <f ca="1">IFERROR(EW15, "Unknown date")</f>
        <v>n/a</v>
      </c>
      <c r="CH18" s="177"/>
      <c r="CI18" s="177"/>
      <c r="CJ18" s="177"/>
      <c r="CK18" s="177"/>
      <c r="CL18" s="177"/>
      <c r="CM18" s="177"/>
      <c r="CN18" s="177"/>
      <c r="CO18" s="177"/>
      <c r="CP18" s="177"/>
      <c r="CQ18" s="177"/>
      <c r="CR18" s="177"/>
      <c r="CS18" s="177"/>
      <c r="CT18" s="177"/>
      <c r="CU18" s="177"/>
      <c r="CV18" s="177"/>
      <c r="CW18" s="168" t="s">
        <v>47</v>
      </c>
      <c r="CX18" s="169"/>
      <c r="CY18" s="169"/>
      <c r="CZ18" s="169"/>
      <c r="DA18" s="169"/>
      <c r="DB18" s="169"/>
      <c r="DC18" s="169"/>
      <c r="DD18" s="169"/>
      <c r="DE18" s="169"/>
      <c r="DF18" s="169"/>
      <c r="DG18" s="169"/>
      <c r="DH18" s="169"/>
      <c r="DI18" s="169"/>
      <c r="DJ18" s="169"/>
      <c r="DK18" s="169"/>
      <c r="DL18" s="169"/>
      <c r="DM18" s="169"/>
      <c r="DN18" s="169"/>
      <c r="DO18" s="169"/>
      <c r="DP18" s="169"/>
      <c r="DQ18" s="171"/>
      <c r="DR18" s="185">
        <f ca="1">IFERROR(AV18+0,0) + IFERROR(CG18+0,0)</f>
        <v>0</v>
      </c>
      <c r="DS18" s="186"/>
      <c r="DT18" s="186"/>
      <c r="DU18" s="186"/>
      <c r="DV18" s="186"/>
      <c r="DW18" s="186"/>
      <c r="DX18" s="186"/>
      <c r="DY18" s="186"/>
      <c r="DZ18" s="186"/>
      <c r="EA18" s="186"/>
      <c r="EB18" s="186"/>
      <c r="EC18" s="186"/>
      <c r="ED18" s="186"/>
      <c r="EE18" s="186"/>
      <c r="EF18" s="186"/>
      <c r="EG18" s="186"/>
      <c r="EI18" s="46">
        <v>12</v>
      </c>
      <c r="EJ18" s="38">
        <f t="shared" ref="EJ18:EJ24" ca="1" si="1">IFERROR(AV18+0,0) * $EI18</f>
        <v>0</v>
      </c>
      <c r="EK18" s="38">
        <f t="shared" ca="1" si="0"/>
        <v>0</v>
      </c>
      <c r="EM18" s="39" t="s">
        <v>122</v>
      </c>
      <c r="EN18" s="37" t="s">
        <v>126</v>
      </c>
      <c r="ER18" s="5" t="str">
        <f ca="1">YEAR(IF(Date_Override + 0 &gt; 0, Date_Override, TODAY())) &amp; IF(FIND("/", Sponsor_Rank &amp; "xxxxx/") = 4, MID(Sponsor_Rank, 5, 999), Sponsor_Rank)</f>
        <v>2023</v>
      </c>
      <c r="EW18" s="5" t="str">
        <f ca="1">YEAR(IF(Date_Override + 0 &gt; 0, Date_Override, TODAY())) &amp; IF(FIND("/", Spouse_Rank &amp; "xxxxx/") = 4, MID(Spouse_Rank, 5, 999), Spouse_Rank)</f>
        <v>2023</v>
      </c>
      <c r="GC18" s="37">
        <f>MATCH(SUBSTITUTE(SUBSTITUTE(SUBSTITUTE($AV$6 &amp; "  /  " &amp; $AV$7 &amp; "  /  " &amp; $AV$8 &amp; ";", "  /  ;", ";"), "  /  ;", ";"), ";", ""), StatusBranchGrade[Sponsor], 0)</f>
        <v>1</v>
      </c>
      <c r="GD18" s="37">
        <f>MATCH(SUBSTITUTE(SUBSTITUTE(SUBSTITUTE($CG$6 &amp; "  /  " &amp; $CG$7 &amp; "  /  " &amp; $CG$8 &amp; ";", "  /  ;", ";"), "  /  ;", ";"), ";", ""), StatusBranchGrade[Spouse], 0)</f>
        <v>1</v>
      </c>
      <c r="GE18" s="37" t="s">
        <v>366</v>
      </c>
    </row>
    <row r="19" spans="9:187" s="37" customFormat="1" ht="12.75" customHeight="1" x14ac:dyDescent="0.2">
      <c r="I19" s="167" t="s">
        <v>49</v>
      </c>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72"/>
      <c r="AW19" s="172"/>
      <c r="AX19" s="172"/>
      <c r="AY19" s="172"/>
      <c r="AZ19" s="172"/>
      <c r="BA19" s="172"/>
      <c r="BB19" s="172"/>
      <c r="BC19" s="172"/>
      <c r="BD19" s="172"/>
      <c r="BE19" s="172"/>
      <c r="BF19" s="172"/>
      <c r="BG19" s="172"/>
      <c r="BH19" s="172"/>
      <c r="BI19" s="172"/>
      <c r="BJ19" s="172"/>
      <c r="BK19" s="172"/>
      <c r="BL19" s="168" t="s">
        <v>46</v>
      </c>
      <c r="BM19" s="169"/>
      <c r="BN19" s="169"/>
      <c r="BO19" s="169"/>
      <c r="BP19" s="169"/>
      <c r="BQ19" s="169"/>
      <c r="BR19" s="169"/>
      <c r="BS19" s="169"/>
      <c r="BT19" s="169"/>
      <c r="BU19" s="169"/>
      <c r="BV19" s="169"/>
      <c r="BW19" s="169"/>
      <c r="BX19" s="169"/>
      <c r="BY19" s="169"/>
      <c r="BZ19" s="169"/>
      <c r="CA19" s="169"/>
      <c r="CB19" s="169"/>
      <c r="CC19" s="169"/>
      <c r="CD19" s="169"/>
      <c r="CE19" s="169"/>
      <c r="CF19" s="170"/>
      <c r="CG19" s="172"/>
      <c r="CH19" s="172"/>
      <c r="CI19" s="172"/>
      <c r="CJ19" s="172"/>
      <c r="CK19" s="172"/>
      <c r="CL19" s="172"/>
      <c r="CM19" s="172"/>
      <c r="CN19" s="172"/>
      <c r="CO19" s="172"/>
      <c r="CP19" s="172"/>
      <c r="CQ19" s="172"/>
      <c r="CR19" s="172"/>
      <c r="CS19" s="172"/>
      <c r="CT19" s="172"/>
      <c r="CU19" s="172"/>
      <c r="CV19" s="172"/>
      <c r="CW19" s="168" t="s">
        <v>47</v>
      </c>
      <c r="CX19" s="169"/>
      <c r="CY19" s="169"/>
      <c r="CZ19" s="169"/>
      <c r="DA19" s="169"/>
      <c r="DB19" s="169"/>
      <c r="DC19" s="169"/>
      <c r="DD19" s="169"/>
      <c r="DE19" s="169"/>
      <c r="DF19" s="169"/>
      <c r="DG19" s="169"/>
      <c r="DH19" s="169"/>
      <c r="DI19" s="169"/>
      <c r="DJ19" s="169"/>
      <c r="DK19" s="169"/>
      <c r="DL19" s="169"/>
      <c r="DM19" s="169"/>
      <c r="DN19" s="169"/>
      <c r="DO19" s="169"/>
      <c r="DP19" s="169"/>
      <c r="DQ19" s="171"/>
      <c r="DR19" s="185">
        <f t="shared" ref="DR19:DR24" si="2">AV19 + CG19</f>
        <v>0</v>
      </c>
      <c r="DS19" s="186"/>
      <c r="DT19" s="186"/>
      <c r="DU19" s="186"/>
      <c r="DV19" s="186"/>
      <c r="DW19" s="186"/>
      <c r="DX19" s="186"/>
      <c r="DY19" s="186"/>
      <c r="DZ19" s="186"/>
      <c r="EA19" s="186"/>
      <c r="EB19" s="186"/>
      <c r="EC19" s="186"/>
      <c r="ED19" s="186"/>
      <c r="EE19" s="186"/>
      <c r="EF19" s="186"/>
      <c r="EG19" s="186"/>
      <c r="EI19" s="46">
        <v>12</v>
      </c>
      <c r="EJ19" s="38">
        <f t="shared" si="1"/>
        <v>0</v>
      </c>
      <c r="EK19" s="38">
        <f t="shared" si="0"/>
        <v>0</v>
      </c>
      <c r="EM19" s="39" t="s">
        <v>123</v>
      </c>
      <c r="EN19" s="37" t="s">
        <v>126</v>
      </c>
      <c r="ER19" s="37" t="s">
        <v>677</v>
      </c>
      <c r="GC19" s="37" t="str">
        <f ca="1">OFFSET(StatusBranchGrade[[#Headers],[Override]], $GC$18, 0) &amp; ""</f>
        <v/>
      </c>
      <c r="GD19" s="37" t="str">
        <f ca="1">OFFSET(StatusBranchGrade[[#Headers],[Override]], $GD$18, 0) &amp; ""</f>
        <v/>
      </c>
      <c r="GE19" s="37" t="s">
        <v>368</v>
      </c>
    </row>
    <row r="20" spans="9:187" s="37" customFormat="1" ht="12.75" customHeight="1" x14ac:dyDescent="0.2">
      <c r="I20" s="167" t="s">
        <v>50</v>
      </c>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72"/>
      <c r="AW20" s="172"/>
      <c r="AX20" s="172"/>
      <c r="AY20" s="172"/>
      <c r="AZ20" s="172"/>
      <c r="BA20" s="172"/>
      <c r="BB20" s="172"/>
      <c r="BC20" s="172"/>
      <c r="BD20" s="172"/>
      <c r="BE20" s="172"/>
      <c r="BF20" s="172"/>
      <c r="BG20" s="172"/>
      <c r="BH20" s="172"/>
      <c r="BI20" s="172"/>
      <c r="BJ20" s="172"/>
      <c r="BK20" s="172"/>
      <c r="BL20" s="168" t="s">
        <v>46</v>
      </c>
      <c r="BM20" s="169"/>
      <c r="BN20" s="169"/>
      <c r="BO20" s="169"/>
      <c r="BP20" s="169"/>
      <c r="BQ20" s="169"/>
      <c r="BR20" s="169"/>
      <c r="BS20" s="169"/>
      <c r="BT20" s="169"/>
      <c r="BU20" s="169"/>
      <c r="BV20" s="169"/>
      <c r="BW20" s="169"/>
      <c r="BX20" s="169"/>
      <c r="BY20" s="169"/>
      <c r="BZ20" s="169"/>
      <c r="CA20" s="169"/>
      <c r="CB20" s="169"/>
      <c r="CC20" s="169"/>
      <c r="CD20" s="169"/>
      <c r="CE20" s="169"/>
      <c r="CF20" s="170"/>
      <c r="CG20" s="172"/>
      <c r="CH20" s="172"/>
      <c r="CI20" s="172"/>
      <c r="CJ20" s="172"/>
      <c r="CK20" s="172"/>
      <c r="CL20" s="172"/>
      <c r="CM20" s="172"/>
      <c r="CN20" s="172"/>
      <c r="CO20" s="172"/>
      <c r="CP20" s="172"/>
      <c r="CQ20" s="172"/>
      <c r="CR20" s="172"/>
      <c r="CS20" s="172"/>
      <c r="CT20" s="172"/>
      <c r="CU20" s="172"/>
      <c r="CV20" s="172"/>
      <c r="CW20" s="168" t="s">
        <v>47</v>
      </c>
      <c r="CX20" s="169"/>
      <c r="CY20" s="169"/>
      <c r="CZ20" s="169"/>
      <c r="DA20" s="169"/>
      <c r="DB20" s="169"/>
      <c r="DC20" s="169"/>
      <c r="DD20" s="169"/>
      <c r="DE20" s="169"/>
      <c r="DF20" s="169"/>
      <c r="DG20" s="169"/>
      <c r="DH20" s="169"/>
      <c r="DI20" s="169"/>
      <c r="DJ20" s="169"/>
      <c r="DK20" s="169"/>
      <c r="DL20" s="169"/>
      <c r="DM20" s="169"/>
      <c r="DN20" s="169"/>
      <c r="DO20" s="169"/>
      <c r="DP20" s="169"/>
      <c r="DQ20" s="171"/>
      <c r="DR20" s="185">
        <f t="shared" si="2"/>
        <v>0</v>
      </c>
      <c r="DS20" s="186"/>
      <c r="DT20" s="186"/>
      <c r="DU20" s="186"/>
      <c r="DV20" s="186"/>
      <c r="DW20" s="186"/>
      <c r="DX20" s="186"/>
      <c r="DY20" s="186"/>
      <c r="DZ20" s="186"/>
      <c r="EA20" s="186"/>
      <c r="EB20" s="186"/>
      <c r="EC20" s="186"/>
      <c r="ED20" s="186"/>
      <c r="EE20" s="186"/>
      <c r="EF20" s="186"/>
      <c r="EG20" s="186"/>
      <c r="EI20" s="46">
        <v>12</v>
      </c>
      <c r="EJ20" s="38">
        <f t="shared" si="1"/>
        <v>0</v>
      </c>
      <c r="EK20" s="38">
        <f t="shared" si="0"/>
        <v>0</v>
      </c>
      <c r="EM20" s="39" t="s">
        <v>123</v>
      </c>
      <c r="EN20" s="37" t="s">
        <v>126</v>
      </c>
      <c r="ER20" s="37" t="str">
        <f>_xlfn.XLOOKUP(AV6, Status[Status], Status[_BAH], "n/a", 0) &amp; ""</f>
        <v>N</v>
      </c>
      <c r="EW20" s="37" t="str">
        <f>_xlfn.XLOOKUP(CG6, Status[Status], Status[_BAH], "n/a", 0) &amp; ""</f>
        <v>N</v>
      </c>
    </row>
    <row r="21" spans="9:187" s="37" customFormat="1" ht="12.75" customHeight="1" x14ac:dyDescent="0.2">
      <c r="I21" s="167" t="s">
        <v>51</v>
      </c>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72"/>
      <c r="AW21" s="172"/>
      <c r="AX21" s="172"/>
      <c r="AY21" s="172"/>
      <c r="AZ21" s="172"/>
      <c r="BA21" s="172"/>
      <c r="BB21" s="172"/>
      <c r="BC21" s="172"/>
      <c r="BD21" s="172"/>
      <c r="BE21" s="172"/>
      <c r="BF21" s="172"/>
      <c r="BG21" s="172"/>
      <c r="BH21" s="172"/>
      <c r="BI21" s="172"/>
      <c r="BJ21" s="172"/>
      <c r="BK21" s="172"/>
      <c r="BL21" s="168" t="s">
        <v>46</v>
      </c>
      <c r="BM21" s="169"/>
      <c r="BN21" s="169"/>
      <c r="BO21" s="169"/>
      <c r="BP21" s="169"/>
      <c r="BQ21" s="169"/>
      <c r="BR21" s="169"/>
      <c r="BS21" s="169"/>
      <c r="BT21" s="169"/>
      <c r="BU21" s="169"/>
      <c r="BV21" s="169"/>
      <c r="BW21" s="169"/>
      <c r="BX21" s="169"/>
      <c r="BY21" s="169"/>
      <c r="BZ21" s="169"/>
      <c r="CA21" s="169"/>
      <c r="CB21" s="169"/>
      <c r="CC21" s="169"/>
      <c r="CD21" s="169"/>
      <c r="CE21" s="169"/>
      <c r="CF21" s="170"/>
      <c r="CG21" s="172"/>
      <c r="CH21" s="172"/>
      <c r="CI21" s="172"/>
      <c r="CJ21" s="172"/>
      <c r="CK21" s="172"/>
      <c r="CL21" s="172"/>
      <c r="CM21" s="172"/>
      <c r="CN21" s="172"/>
      <c r="CO21" s="172"/>
      <c r="CP21" s="172"/>
      <c r="CQ21" s="172"/>
      <c r="CR21" s="172"/>
      <c r="CS21" s="172"/>
      <c r="CT21" s="172"/>
      <c r="CU21" s="172"/>
      <c r="CV21" s="172"/>
      <c r="CW21" s="168" t="s">
        <v>47</v>
      </c>
      <c r="CX21" s="169"/>
      <c r="CY21" s="169"/>
      <c r="CZ21" s="169"/>
      <c r="DA21" s="169"/>
      <c r="DB21" s="169"/>
      <c r="DC21" s="169"/>
      <c r="DD21" s="169"/>
      <c r="DE21" s="169"/>
      <c r="DF21" s="169"/>
      <c r="DG21" s="169"/>
      <c r="DH21" s="169"/>
      <c r="DI21" s="169"/>
      <c r="DJ21" s="169"/>
      <c r="DK21" s="169"/>
      <c r="DL21" s="169"/>
      <c r="DM21" s="169"/>
      <c r="DN21" s="169"/>
      <c r="DO21" s="169"/>
      <c r="DP21" s="169"/>
      <c r="DQ21" s="171"/>
      <c r="DR21" s="185">
        <f t="shared" si="2"/>
        <v>0</v>
      </c>
      <c r="DS21" s="186"/>
      <c r="DT21" s="186"/>
      <c r="DU21" s="186"/>
      <c r="DV21" s="186"/>
      <c r="DW21" s="186"/>
      <c r="DX21" s="186"/>
      <c r="DY21" s="186"/>
      <c r="DZ21" s="186"/>
      <c r="EA21" s="186"/>
      <c r="EB21" s="186"/>
      <c r="EC21" s="186"/>
      <c r="ED21" s="186"/>
      <c r="EE21" s="186"/>
      <c r="EF21" s="186"/>
      <c r="EG21" s="186"/>
      <c r="EI21" s="46">
        <v>12</v>
      </c>
      <c r="EJ21" s="38">
        <f t="shared" si="1"/>
        <v>0</v>
      </c>
      <c r="EK21" s="38">
        <f t="shared" si="0"/>
        <v>0</v>
      </c>
      <c r="EM21" s="39" t="s">
        <v>123</v>
      </c>
      <c r="EN21" s="37" t="s">
        <v>126</v>
      </c>
      <c r="ER21" s="37" t="s">
        <v>684</v>
      </c>
    </row>
    <row r="22" spans="9:187" s="37" customFormat="1" ht="12.75" customHeight="1" x14ac:dyDescent="0.25">
      <c r="I22" s="167" t="s">
        <v>52</v>
      </c>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72"/>
      <c r="AW22" s="172"/>
      <c r="AX22" s="172"/>
      <c r="AY22" s="172"/>
      <c r="AZ22" s="172"/>
      <c r="BA22" s="172"/>
      <c r="BB22" s="172"/>
      <c r="BC22" s="172"/>
      <c r="BD22" s="172"/>
      <c r="BE22" s="172"/>
      <c r="BF22" s="172"/>
      <c r="BG22" s="172"/>
      <c r="BH22" s="172"/>
      <c r="BI22" s="172"/>
      <c r="BJ22" s="172"/>
      <c r="BK22" s="172"/>
      <c r="BL22" s="168" t="s">
        <v>46</v>
      </c>
      <c r="BM22" s="169"/>
      <c r="BN22" s="169"/>
      <c r="BO22" s="169"/>
      <c r="BP22" s="169"/>
      <c r="BQ22" s="169"/>
      <c r="BR22" s="169"/>
      <c r="BS22" s="169"/>
      <c r="BT22" s="169"/>
      <c r="BU22" s="169"/>
      <c r="BV22" s="169"/>
      <c r="BW22" s="169"/>
      <c r="BX22" s="169"/>
      <c r="BY22" s="169"/>
      <c r="BZ22" s="169"/>
      <c r="CA22" s="169"/>
      <c r="CB22" s="169"/>
      <c r="CC22" s="169"/>
      <c r="CD22" s="169"/>
      <c r="CE22" s="169"/>
      <c r="CF22" s="170"/>
      <c r="CG22" s="172"/>
      <c r="CH22" s="172"/>
      <c r="CI22" s="172"/>
      <c r="CJ22" s="172"/>
      <c r="CK22" s="172"/>
      <c r="CL22" s="172"/>
      <c r="CM22" s="172"/>
      <c r="CN22" s="172"/>
      <c r="CO22" s="172"/>
      <c r="CP22" s="172"/>
      <c r="CQ22" s="172"/>
      <c r="CR22" s="172"/>
      <c r="CS22" s="172"/>
      <c r="CT22" s="172"/>
      <c r="CU22" s="172"/>
      <c r="CV22" s="172"/>
      <c r="CW22" s="168" t="s">
        <v>47</v>
      </c>
      <c r="CX22" s="169"/>
      <c r="CY22" s="169"/>
      <c r="CZ22" s="169"/>
      <c r="DA22" s="169"/>
      <c r="DB22" s="169"/>
      <c r="DC22" s="169"/>
      <c r="DD22" s="169"/>
      <c r="DE22" s="169"/>
      <c r="DF22" s="169"/>
      <c r="DG22" s="169"/>
      <c r="DH22" s="169"/>
      <c r="DI22" s="169"/>
      <c r="DJ22" s="169"/>
      <c r="DK22" s="169"/>
      <c r="DL22" s="169"/>
      <c r="DM22" s="169"/>
      <c r="DN22" s="169"/>
      <c r="DO22" s="169"/>
      <c r="DP22" s="169"/>
      <c r="DQ22" s="171"/>
      <c r="DR22" s="185">
        <f t="shared" si="2"/>
        <v>0</v>
      </c>
      <c r="DS22" s="186"/>
      <c r="DT22" s="186"/>
      <c r="DU22" s="186"/>
      <c r="DV22" s="186"/>
      <c r="DW22" s="186"/>
      <c r="DX22" s="186"/>
      <c r="DY22" s="186"/>
      <c r="DZ22" s="186"/>
      <c r="EA22" s="186"/>
      <c r="EB22" s="186"/>
      <c r="EC22" s="186"/>
      <c r="ED22" s="186"/>
      <c r="EE22" s="186"/>
      <c r="EF22" s="186"/>
      <c r="EG22" s="186"/>
      <c r="EI22" s="46">
        <v>12</v>
      </c>
      <c r="EJ22" s="38">
        <f t="shared" si="1"/>
        <v>0</v>
      </c>
      <c r="EK22" s="38">
        <f t="shared" si="0"/>
        <v>0</v>
      </c>
      <c r="EM22" s="39" t="s">
        <v>123</v>
      </c>
      <c r="EN22" s="37" t="s">
        <v>126</v>
      </c>
      <c r="ER22" s="4" t="str">
        <f>IF(ER20 = "C", "Y", "N")</f>
        <v>N</v>
      </c>
      <c r="ES22" s="4"/>
      <c r="ET22" s="4"/>
      <c r="EU22" s="4"/>
      <c r="EV22" s="4"/>
      <c r="EW22" s="4" t="str">
        <f>IF(EW20 = "C", "Y", "N")</f>
        <v>N</v>
      </c>
      <c r="GC22" s="37">
        <f>IFERROR(MATCH($AV$10 &amp; "", JobDetails[Job details], 0), 1)</f>
        <v>1</v>
      </c>
      <c r="GD22" s="37">
        <f>IFERROR(MATCH($CG$10 &amp; "", JobDetails[Job details], 0), 1)</f>
        <v>1</v>
      </c>
      <c r="GE22" s="37" t="s">
        <v>305</v>
      </c>
    </row>
    <row r="23" spans="9:187" s="37" customFormat="1" ht="12.75" customHeight="1" thickBot="1" x14ac:dyDescent="0.25">
      <c r="I23" s="167" t="s">
        <v>538</v>
      </c>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214"/>
      <c r="AW23" s="214"/>
      <c r="AX23" s="214"/>
      <c r="AY23" s="214"/>
      <c r="AZ23" s="214"/>
      <c r="BA23" s="214"/>
      <c r="BB23" s="214"/>
      <c r="BC23" s="214"/>
      <c r="BD23" s="214"/>
      <c r="BE23" s="214"/>
      <c r="BF23" s="214"/>
      <c r="BG23" s="214"/>
      <c r="BH23" s="214"/>
      <c r="BI23" s="214"/>
      <c r="BJ23" s="214"/>
      <c r="BK23" s="214"/>
      <c r="BL23" s="168" t="s">
        <v>46</v>
      </c>
      <c r="BM23" s="169"/>
      <c r="BN23" s="169"/>
      <c r="BO23" s="169"/>
      <c r="BP23" s="169"/>
      <c r="BQ23" s="169"/>
      <c r="BR23" s="169"/>
      <c r="BS23" s="169"/>
      <c r="BT23" s="169"/>
      <c r="BU23" s="169"/>
      <c r="BV23" s="169"/>
      <c r="BW23" s="169"/>
      <c r="BX23" s="169"/>
      <c r="BY23" s="169"/>
      <c r="BZ23" s="169"/>
      <c r="CA23" s="169"/>
      <c r="CB23" s="169"/>
      <c r="CC23" s="169"/>
      <c r="CD23" s="169"/>
      <c r="CE23" s="169"/>
      <c r="CF23" s="170"/>
      <c r="CG23" s="214"/>
      <c r="CH23" s="214"/>
      <c r="CI23" s="214"/>
      <c r="CJ23" s="214"/>
      <c r="CK23" s="214"/>
      <c r="CL23" s="214"/>
      <c r="CM23" s="214"/>
      <c r="CN23" s="214"/>
      <c r="CO23" s="214"/>
      <c r="CP23" s="214"/>
      <c r="CQ23" s="214"/>
      <c r="CR23" s="214"/>
      <c r="CS23" s="214"/>
      <c r="CT23" s="214"/>
      <c r="CU23" s="214"/>
      <c r="CV23" s="214"/>
      <c r="CW23" s="168" t="s">
        <v>47</v>
      </c>
      <c r="CX23" s="169"/>
      <c r="CY23" s="169"/>
      <c r="CZ23" s="169"/>
      <c r="DA23" s="169"/>
      <c r="DB23" s="169"/>
      <c r="DC23" s="169"/>
      <c r="DD23" s="169"/>
      <c r="DE23" s="169"/>
      <c r="DF23" s="169"/>
      <c r="DG23" s="169"/>
      <c r="DH23" s="169"/>
      <c r="DI23" s="169"/>
      <c r="DJ23" s="169"/>
      <c r="DK23" s="169"/>
      <c r="DL23" s="169"/>
      <c r="DM23" s="169"/>
      <c r="DN23" s="169"/>
      <c r="DO23" s="169"/>
      <c r="DP23" s="169"/>
      <c r="DQ23" s="171"/>
      <c r="DR23" s="207">
        <f t="shared" si="2"/>
        <v>0</v>
      </c>
      <c r="DS23" s="208"/>
      <c r="DT23" s="208"/>
      <c r="DU23" s="208"/>
      <c r="DV23" s="208"/>
      <c r="DW23" s="208"/>
      <c r="DX23" s="208"/>
      <c r="DY23" s="208"/>
      <c r="DZ23" s="208"/>
      <c r="EA23" s="208"/>
      <c r="EB23" s="208"/>
      <c r="EC23" s="208"/>
      <c r="ED23" s="208"/>
      <c r="EE23" s="208"/>
      <c r="EF23" s="208"/>
      <c r="EG23" s="208"/>
      <c r="EI23" s="46">
        <v>12</v>
      </c>
      <c r="EJ23" s="38">
        <f t="shared" si="1"/>
        <v>0</v>
      </c>
      <c r="EK23" s="38">
        <f t="shared" si="0"/>
        <v>0</v>
      </c>
      <c r="EM23" s="39" t="s">
        <v>123</v>
      </c>
      <c r="EN23" s="37" t="s">
        <v>126</v>
      </c>
      <c r="ER23" s="37" t="s">
        <v>686</v>
      </c>
      <c r="GC23" s="37" t="str">
        <f ca="1">OFFSET(JobDetails[[#Headers],[Code]], $GC$22, 0) &amp; ""</f>
        <v>Single</v>
      </c>
      <c r="GD23" s="37" t="str">
        <f ca="1">OFFSET(JobDetails[[#Headers],[Code]], $GD$22, 0) &amp; ""</f>
        <v>Single</v>
      </c>
      <c r="GE23" s="37" t="s">
        <v>306</v>
      </c>
    </row>
    <row r="24" spans="9:187" s="37" customFormat="1" ht="12.75" customHeight="1" thickTop="1" x14ac:dyDescent="0.2">
      <c r="I24" s="167" t="s">
        <v>27</v>
      </c>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212">
        <f ca="1">AV15 + SUM(AV17:BK23)</f>
        <v>0</v>
      </c>
      <c r="AW24" s="212"/>
      <c r="AX24" s="212"/>
      <c r="AY24" s="212"/>
      <c r="AZ24" s="212"/>
      <c r="BA24" s="212"/>
      <c r="BB24" s="212"/>
      <c r="BC24" s="212"/>
      <c r="BD24" s="212"/>
      <c r="BE24" s="212"/>
      <c r="BF24" s="212"/>
      <c r="BG24" s="212"/>
      <c r="BH24" s="212"/>
      <c r="BI24" s="212"/>
      <c r="BJ24" s="212"/>
      <c r="BK24" s="212"/>
      <c r="BL24" s="168" t="s">
        <v>46</v>
      </c>
      <c r="BM24" s="169"/>
      <c r="BN24" s="169"/>
      <c r="BO24" s="169"/>
      <c r="BP24" s="169"/>
      <c r="BQ24" s="169"/>
      <c r="BR24" s="169"/>
      <c r="BS24" s="169"/>
      <c r="BT24" s="169"/>
      <c r="BU24" s="169"/>
      <c r="BV24" s="169"/>
      <c r="BW24" s="169"/>
      <c r="BX24" s="169"/>
      <c r="BY24" s="169"/>
      <c r="BZ24" s="169"/>
      <c r="CA24" s="169"/>
      <c r="CB24" s="169"/>
      <c r="CC24" s="169"/>
      <c r="CD24" s="169"/>
      <c r="CE24" s="169"/>
      <c r="CF24" s="170"/>
      <c r="CG24" s="212">
        <f ca="1">CG15 + SUM(CG17:CV23)</f>
        <v>0</v>
      </c>
      <c r="CH24" s="212"/>
      <c r="CI24" s="212"/>
      <c r="CJ24" s="212"/>
      <c r="CK24" s="212"/>
      <c r="CL24" s="212"/>
      <c r="CM24" s="212"/>
      <c r="CN24" s="212"/>
      <c r="CO24" s="212"/>
      <c r="CP24" s="212"/>
      <c r="CQ24" s="212"/>
      <c r="CR24" s="212"/>
      <c r="CS24" s="212"/>
      <c r="CT24" s="212"/>
      <c r="CU24" s="212"/>
      <c r="CV24" s="212"/>
      <c r="CW24" s="168" t="s">
        <v>47</v>
      </c>
      <c r="CX24" s="169"/>
      <c r="CY24" s="169"/>
      <c r="CZ24" s="169"/>
      <c r="DA24" s="169"/>
      <c r="DB24" s="169"/>
      <c r="DC24" s="169"/>
      <c r="DD24" s="169"/>
      <c r="DE24" s="169"/>
      <c r="DF24" s="169"/>
      <c r="DG24" s="169"/>
      <c r="DH24" s="169"/>
      <c r="DI24" s="169"/>
      <c r="DJ24" s="169"/>
      <c r="DK24" s="169"/>
      <c r="DL24" s="169"/>
      <c r="DM24" s="169"/>
      <c r="DN24" s="169"/>
      <c r="DO24" s="169"/>
      <c r="DP24" s="169"/>
      <c r="DQ24" s="171"/>
      <c r="DR24" s="205">
        <f t="shared" ca="1" si="2"/>
        <v>0</v>
      </c>
      <c r="DS24" s="206"/>
      <c r="DT24" s="206"/>
      <c r="DU24" s="206"/>
      <c r="DV24" s="206"/>
      <c r="DW24" s="206"/>
      <c r="DX24" s="206"/>
      <c r="DY24" s="206"/>
      <c r="DZ24" s="206"/>
      <c r="EA24" s="206"/>
      <c r="EB24" s="206"/>
      <c r="EC24" s="206"/>
      <c r="ED24" s="206"/>
      <c r="EE24" s="206"/>
      <c r="EF24" s="206"/>
      <c r="EG24" s="206"/>
      <c r="EI24" s="46">
        <v>12</v>
      </c>
      <c r="EJ24" s="38">
        <f t="shared" ca="1" si="1"/>
        <v>0</v>
      </c>
      <c r="EK24" s="38">
        <f t="shared" ca="1" si="0"/>
        <v>0</v>
      </c>
      <c r="ER24" s="37">
        <f>IF(ER22 = "Y", SUM(AV28:AV35), AV15 + SUM(AV19:AV23))</f>
        <v>0</v>
      </c>
      <c r="EW24" s="37">
        <f>IF(EW22 = "Y", SUM(CG28:CG35), CG15 + SUM(CG19:CG23))</f>
        <v>0</v>
      </c>
      <c r="GC24" s="37" t="e">
        <f ca="1">MATCH($GC$15 &amp; "", MCC20July!$B$5:$B$12, 0)</f>
        <v>#N/A</v>
      </c>
      <c r="GD24" s="37">
        <f ca="1">MATCH(IF(IFERROR($GD$15 &amp; "", "") = "Dual", "Dual", $GD$23) &amp; "", MCC20July!$D$4:$L$4, 0)</f>
        <v>2</v>
      </c>
      <c r="GE24" s="37" t="s">
        <v>369</v>
      </c>
    </row>
    <row r="25" spans="9:187" s="5" customFormat="1" ht="12.75" customHeight="1" thickBot="1" x14ac:dyDescent="0.25">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9" t="s">
        <v>32</v>
      </c>
      <c r="AW25" s="209"/>
      <c r="AX25" s="209"/>
      <c r="AY25" s="209"/>
      <c r="AZ25" s="209"/>
      <c r="BA25" s="209"/>
      <c r="BB25" s="209"/>
      <c r="BC25" s="209"/>
      <c r="BD25" s="209"/>
      <c r="BE25" s="209"/>
      <c r="BF25" s="209"/>
      <c r="BG25" s="209"/>
      <c r="BH25" s="209"/>
      <c r="BI25" s="209"/>
      <c r="BJ25" s="209"/>
      <c r="BK25" s="209"/>
      <c r="BL25" s="218"/>
      <c r="BM25" s="219"/>
      <c r="BN25" s="219"/>
      <c r="BO25" s="219"/>
      <c r="BP25" s="219"/>
      <c r="BQ25" s="219"/>
      <c r="BR25" s="219"/>
      <c r="BS25" s="219"/>
      <c r="BT25" s="219"/>
      <c r="BU25" s="219"/>
      <c r="BV25" s="219"/>
      <c r="BW25" s="219"/>
      <c r="BX25" s="219"/>
      <c r="BY25" s="219"/>
      <c r="BZ25" s="219"/>
      <c r="CA25" s="219"/>
      <c r="CB25" s="219"/>
      <c r="CC25" s="219"/>
      <c r="CD25" s="219"/>
      <c r="CE25" s="219"/>
      <c r="CF25" s="220"/>
      <c r="CG25" s="209" t="s">
        <v>32</v>
      </c>
      <c r="CH25" s="209"/>
      <c r="CI25" s="209"/>
      <c r="CJ25" s="209"/>
      <c r="CK25" s="209"/>
      <c r="CL25" s="209"/>
      <c r="CM25" s="209"/>
      <c r="CN25" s="209"/>
      <c r="CO25" s="209"/>
      <c r="CP25" s="209"/>
      <c r="CQ25" s="209"/>
      <c r="CR25" s="209"/>
      <c r="CS25" s="209"/>
      <c r="CT25" s="209"/>
      <c r="CU25" s="209"/>
      <c r="CV25" s="209"/>
      <c r="CW25" s="218"/>
      <c r="CX25" s="219"/>
      <c r="CY25" s="219"/>
      <c r="CZ25" s="219"/>
      <c r="DA25" s="219"/>
      <c r="DB25" s="219"/>
      <c r="DC25" s="219"/>
      <c r="DD25" s="219"/>
      <c r="DE25" s="219"/>
      <c r="DF25" s="219"/>
      <c r="DG25" s="219"/>
      <c r="DH25" s="219"/>
      <c r="DI25" s="219"/>
      <c r="DJ25" s="219"/>
      <c r="DK25" s="219"/>
      <c r="DL25" s="219"/>
      <c r="DM25" s="219"/>
      <c r="DN25" s="219"/>
      <c r="DO25" s="219"/>
      <c r="DP25" s="219"/>
      <c r="DQ25" s="220"/>
      <c r="DR25" s="216" t="s">
        <v>32</v>
      </c>
      <c r="DS25" s="216"/>
      <c r="DT25" s="216"/>
      <c r="DU25" s="216"/>
      <c r="DV25" s="216"/>
      <c r="DW25" s="216"/>
      <c r="DX25" s="216"/>
      <c r="DY25" s="216"/>
      <c r="DZ25" s="216"/>
      <c r="EA25" s="216"/>
      <c r="EB25" s="216"/>
      <c r="EC25" s="216"/>
      <c r="ED25" s="216"/>
      <c r="EE25" s="216"/>
      <c r="EF25" s="216"/>
      <c r="EG25" s="216"/>
      <c r="ER25" s="37" t="s">
        <v>688</v>
      </c>
      <c r="ES25" s="37"/>
      <c r="ET25" s="37"/>
      <c r="EU25" s="37"/>
      <c r="EV25" s="37"/>
      <c r="EW25" s="37"/>
      <c r="GC25" s="5" t="str">
        <f ca="1">IFERROR(MATCH($GC$17 &amp; "", MCC20July!$B$5:$B$12, 0), "")</f>
        <v/>
      </c>
      <c r="GD25" s="37">
        <f ca="1">MATCH(IF(IFERROR($GD$17 &amp; "", "") = "Dual", "Dual", $GD$23) &amp; "", MCC20July!$D$4:$L$4, 0)</f>
        <v>2</v>
      </c>
    </row>
    <row r="26" spans="9:187" s="37" customFormat="1" ht="12.75" customHeight="1" thickTop="1" x14ac:dyDescent="0.2">
      <c r="I26" s="167" t="s">
        <v>33</v>
      </c>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212">
        <f ca="1">AV24*12</f>
        <v>0</v>
      </c>
      <c r="AW26" s="212"/>
      <c r="AX26" s="212"/>
      <c r="AY26" s="212"/>
      <c r="AZ26" s="212"/>
      <c r="BA26" s="212"/>
      <c r="BB26" s="212"/>
      <c r="BC26" s="212"/>
      <c r="BD26" s="212"/>
      <c r="BE26" s="212"/>
      <c r="BF26" s="212"/>
      <c r="BG26" s="212"/>
      <c r="BH26" s="212"/>
      <c r="BI26" s="212"/>
      <c r="BJ26" s="212"/>
      <c r="BK26" s="212"/>
      <c r="BL26" s="168" t="s">
        <v>46</v>
      </c>
      <c r="BM26" s="169"/>
      <c r="BN26" s="169"/>
      <c r="BO26" s="169"/>
      <c r="BP26" s="169"/>
      <c r="BQ26" s="169"/>
      <c r="BR26" s="169"/>
      <c r="BS26" s="169"/>
      <c r="BT26" s="169"/>
      <c r="BU26" s="169"/>
      <c r="BV26" s="169"/>
      <c r="BW26" s="169"/>
      <c r="BX26" s="169"/>
      <c r="BY26" s="169"/>
      <c r="BZ26" s="169"/>
      <c r="CA26" s="169"/>
      <c r="CB26" s="169"/>
      <c r="CC26" s="169"/>
      <c r="CD26" s="169"/>
      <c r="CE26" s="169"/>
      <c r="CF26" s="170"/>
      <c r="CG26" s="212">
        <f ca="1">CG24*12</f>
        <v>0</v>
      </c>
      <c r="CH26" s="212"/>
      <c r="CI26" s="212"/>
      <c r="CJ26" s="212"/>
      <c r="CK26" s="212"/>
      <c r="CL26" s="212"/>
      <c r="CM26" s="212"/>
      <c r="CN26" s="212"/>
      <c r="CO26" s="212"/>
      <c r="CP26" s="212"/>
      <c r="CQ26" s="212"/>
      <c r="CR26" s="212"/>
      <c r="CS26" s="212"/>
      <c r="CT26" s="212"/>
      <c r="CU26" s="212"/>
      <c r="CV26" s="212"/>
      <c r="CW26" s="168" t="s">
        <v>47</v>
      </c>
      <c r="CX26" s="169"/>
      <c r="CY26" s="169"/>
      <c r="CZ26" s="169"/>
      <c r="DA26" s="169"/>
      <c r="DB26" s="169"/>
      <c r="DC26" s="169"/>
      <c r="DD26" s="169"/>
      <c r="DE26" s="169"/>
      <c r="DF26" s="169"/>
      <c r="DG26" s="169"/>
      <c r="DH26" s="169"/>
      <c r="DI26" s="169"/>
      <c r="DJ26" s="169"/>
      <c r="DK26" s="169"/>
      <c r="DL26" s="169"/>
      <c r="DM26" s="169"/>
      <c r="DN26" s="169"/>
      <c r="DO26" s="169"/>
      <c r="DP26" s="169"/>
      <c r="DQ26" s="171"/>
      <c r="DR26" s="205">
        <f ca="1">AV26 + CG26</f>
        <v>0</v>
      </c>
      <c r="DS26" s="206"/>
      <c r="DT26" s="206"/>
      <c r="DU26" s="206"/>
      <c r="DV26" s="206"/>
      <c r="DW26" s="206"/>
      <c r="DX26" s="206"/>
      <c r="DY26" s="206"/>
      <c r="DZ26" s="206"/>
      <c r="EA26" s="206"/>
      <c r="EB26" s="206"/>
      <c r="EC26" s="206"/>
      <c r="ED26" s="206"/>
      <c r="EE26" s="206"/>
      <c r="EF26" s="206"/>
      <c r="EG26" s="206"/>
      <c r="EN26" s="39" t="s">
        <v>124</v>
      </c>
      <c r="ER26" s="37" t="str">
        <f ca="1">_xlfn.XLOOKUP(ER18, BAH[Lookup], BAH[BAH RC/T w/dependents], "n/a", 0)</f>
        <v>n/a</v>
      </c>
      <c r="EW26" s="37">
        <f ca="1">IF(ER26 &gt; 0, 0, _xlfn.XLOOKUP(EW18, BAH[Lookup], BAH[BAH RC/T w/dependents], "n/a", 0))</f>
        <v>0</v>
      </c>
      <c r="GC26" s="37" t="e">
        <f ca="1">OFFSET(MCC20July!$C$4, $GC$24, $GD$24) &amp; ""</f>
        <v>#N/A</v>
      </c>
      <c r="GD26" s="37" t="str">
        <f ca="1">IFERROR(OFFSET(MCC20July!$C$4, $GC$25, $GD$25) &amp; "", "")</f>
        <v/>
      </c>
      <c r="GE26" s="37" t="s">
        <v>360</v>
      </c>
    </row>
    <row r="27" spans="9:187" ht="18.75" x14ac:dyDescent="0.25">
      <c r="I27" s="215" t="s">
        <v>38</v>
      </c>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GC27" s="4" t="str">
        <f>IFERROR(MATCH(TRIM($AV$6), SponsorValidation[Status], 0), "Error")</f>
        <v>Error</v>
      </c>
      <c r="GD27" s="4" t="str">
        <f>IFERROR(MATCH(TRIM($CG$6), SpouseValidation[Status], 0), "Error")</f>
        <v>Error</v>
      </c>
      <c r="GE27" s="37" t="s">
        <v>370</v>
      </c>
    </row>
    <row r="28" spans="9:187" s="37" customFormat="1" ht="12.75" customHeight="1" x14ac:dyDescent="0.2">
      <c r="I28" s="167" t="s">
        <v>65</v>
      </c>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72"/>
      <c r="AW28" s="172"/>
      <c r="AX28" s="172"/>
      <c r="AY28" s="172"/>
      <c r="AZ28" s="172"/>
      <c r="BA28" s="172"/>
      <c r="BB28" s="172"/>
      <c r="BC28" s="172"/>
      <c r="BD28" s="172"/>
      <c r="BE28" s="172"/>
      <c r="BF28" s="172"/>
      <c r="BG28" s="172"/>
      <c r="BH28" s="172"/>
      <c r="BI28" s="172"/>
      <c r="BJ28" s="172"/>
      <c r="BK28" s="172"/>
      <c r="BL28" s="168" t="s">
        <v>46</v>
      </c>
      <c r="BM28" s="169"/>
      <c r="BN28" s="169"/>
      <c r="BO28" s="169"/>
      <c r="BP28" s="169"/>
      <c r="BQ28" s="169"/>
      <c r="BR28" s="169"/>
      <c r="BS28" s="169"/>
      <c r="BT28" s="169"/>
      <c r="BU28" s="169"/>
      <c r="BV28" s="169"/>
      <c r="BW28" s="169"/>
      <c r="BX28" s="169"/>
      <c r="BY28" s="169"/>
      <c r="BZ28" s="169"/>
      <c r="CA28" s="169"/>
      <c r="CB28" s="169"/>
      <c r="CC28" s="169"/>
      <c r="CD28" s="169"/>
      <c r="CE28" s="169"/>
      <c r="CF28" s="170"/>
      <c r="CG28" s="172"/>
      <c r="CH28" s="172"/>
      <c r="CI28" s="172"/>
      <c r="CJ28" s="172"/>
      <c r="CK28" s="172"/>
      <c r="CL28" s="172"/>
      <c r="CM28" s="172"/>
      <c r="CN28" s="172"/>
      <c r="CO28" s="172"/>
      <c r="CP28" s="172"/>
      <c r="CQ28" s="172"/>
      <c r="CR28" s="172"/>
      <c r="CS28" s="172"/>
      <c r="CT28" s="172"/>
      <c r="CU28" s="172"/>
      <c r="CV28" s="172"/>
      <c r="CW28" s="210" t="s">
        <v>116</v>
      </c>
      <c r="CX28" s="211"/>
      <c r="CY28" s="211"/>
      <c r="CZ28" s="211"/>
      <c r="DA28" s="211"/>
      <c r="DB28" s="211"/>
      <c r="DC28" s="211"/>
      <c r="DD28" s="211"/>
      <c r="DE28" s="211"/>
      <c r="DF28" s="169">
        <f>EI28</f>
        <v>52</v>
      </c>
      <c r="DG28" s="169"/>
      <c r="DH28" s="169"/>
      <c r="DI28" s="169"/>
      <c r="DJ28" s="154" t="s">
        <v>47</v>
      </c>
      <c r="DK28" s="154"/>
      <c r="DL28" s="154"/>
      <c r="DM28" s="154"/>
      <c r="DN28" s="154"/>
      <c r="DO28" s="154"/>
      <c r="DP28" s="154"/>
      <c r="DQ28" s="199"/>
      <c r="DR28" s="203">
        <f t="shared" ref="DR28:DR35" si="3">MAX(0, EJ28) + MAX(0, EK28)</f>
        <v>0</v>
      </c>
      <c r="DS28" s="177"/>
      <c r="DT28" s="177"/>
      <c r="DU28" s="177"/>
      <c r="DV28" s="177"/>
      <c r="DW28" s="177"/>
      <c r="DX28" s="177"/>
      <c r="DY28" s="177"/>
      <c r="DZ28" s="177"/>
      <c r="EA28" s="177"/>
      <c r="EB28" s="177"/>
      <c r="EC28" s="177"/>
      <c r="ED28" s="177"/>
      <c r="EE28" s="177"/>
      <c r="EF28" s="177"/>
      <c r="EG28" s="177"/>
      <c r="EI28" s="46">
        <v>52</v>
      </c>
      <c r="EJ28" s="38">
        <f t="shared" ref="EJ28:EJ35" si="4">IFERROR(AV28+0,0) * $EI28</f>
        <v>0</v>
      </c>
      <c r="EK28" s="38">
        <f t="shared" ref="EK28:EK35" si="5">IFERROR(CG28+0,0) * $EI28</f>
        <v>0</v>
      </c>
      <c r="EM28" s="39" t="s">
        <v>120</v>
      </c>
      <c r="EN28" s="39" t="s">
        <v>124</v>
      </c>
      <c r="GC28" s="37" t="e">
        <f ca="1">MATCH($GC$23, SponsorValidation[[#Headers],[Z-EMPFT]:[Z-EMPFT2]], 0)</f>
        <v>#N/A</v>
      </c>
      <c r="GD28" s="37">
        <f ca="1">MATCH($GD$23, SpouseValidation[[#Headers],[Single]:[Z-EMPFT2]], 0)</f>
        <v>1</v>
      </c>
      <c r="GE28" s="37" t="s">
        <v>371</v>
      </c>
    </row>
    <row r="29" spans="9:187" s="37" customFormat="1" ht="12.75" customHeight="1" x14ac:dyDescent="0.2">
      <c r="I29" s="293" t="s">
        <v>74</v>
      </c>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172"/>
      <c r="AW29" s="172"/>
      <c r="AX29" s="172"/>
      <c r="AY29" s="172"/>
      <c r="AZ29" s="172"/>
      <c r="BA29" s="172"/>
      <c r="BB29" s="172"/>
      <c r="BC29" s="172"/>
      <c r="BD29" s="172"/>
      <c r="BE29" s="172"/>
      <c r="BF29" s="172"/>
      <c r="BG29" s="172"/>
      <c r="BH29" s="172"/>
      <c r="BI29" s="172"/>
      <c r="BJ29" s="172"/>
      <c r="BK29" s="172"/>
      <c r="BL29" s="168" t="s">
        <v>46</v>
      </c>
      <c r="BM29" s="169"/>
      <c r="BN29" s="169"/>
      <c r="BO29" s="169"/>
      <c r="BP29" s="169"/>
      <c r="BQ29" s="169"/>
      <c r="BR29" s="169"/>
      <c r="BS29" s="169"/>
      <c r="BT29" s="169"/>
      <c r="BU29" s="169"/>
      <c r="BV29" s="169"/>
      <c r="BW29" s="169"/>
      <c r="BX29" s="169"/>
      <c r="BY29" s="169"/>
      <c r="BZ29" s="169"/>
      <c r="CA29" s="169"/>
      <c r="CB29" s="169"/>
      <c r="CC29" s="169"/>
      <c r="CD29" s="169"/>
      <c r="CE29" s="169"/>
      <c r="CF29" s="170"/>
      <c r="CG29" s="172"/>
      <c r="CH29" s="172"/>
      <c r="CI29" s="172"/>
      <c r="CJ29" s="172"/>
      <c r="CK29" s="172"/>
      <c r="CL29" s="172"/>
      <c r="CM29" s="172"/>
      <c r="CN29" s="172"/>
      <c r="CO29" s="172"/>
      <c r="CP29" s="172"/>
      <c r="CQ29" s="172"/>
      <c r="CR29" s="172"/>
      <c r="CS29" s="172"/>
      <c r="CT29" s="172"/>
      <c r="CU29" s="172"/>
      <c r="CV29" s="172"/>
      <c r="CW29" s="210" t="s">
        <v>116</v>
      </c>
      <c r="CX29" s="211"/>
      <c r="CY29" s="211"/>
      <c r="CZ29" s="211"/>
      <c r="DA29" s="211"/>
      <c r="DB29" s="211"/>
      <c r="DC29" s="211"/>
      <c r="DD29" s="211"/>
      <c r="DE29" s="211"/>
      <c r="DF29" s="169">
        <f>EI29</f>
        <v>26</v>
      </c>
      <c r="DG29" s="169"/>
      <c r="DH29" s="169"/>
      <c r="DI29" s="169"/>
      <c r="DJ29" s="154" t="s">
        <v>47</v>
      </c>
      <c r="DK29" s="154"/>
      <c r="DL29" s="154"/>
      <c r="DM29" s="154"/>
      <c r="DN29" s="154"/>
      <c r="DO29" s="154"/>
      <c r="DP29" s="154"/>
      <c r="DQ29" s="199"/>
      <c r="DR29" s="203">
        <f t="shared" si="3"/>
        <v>0</v>
      </c>
      <c r="DS29" s="177"/>
      <c r="DT29" s="177"/>
      <c r="DU29" s="177"/>
      <c r="DV29" s="177"/>
      <c r="DW29" s="177"/>
      <c r="DX29" s="177"/>
      <c r="DY29" s="177"/>
      <c r="DZ29" s="177"/>
      <c r="EA29" s="177"/>
      <c r="EB29" s="177"/>
      <c r="EC29" s="177"/>
      <c r="ED29" s="177"/>
      <c r="EE29" s="177"/>
      <c r="EF29" s="177"/>
      <c r="EG29" s="177"/>
      <c r="EI29" s="46">
        <v>26</v>
      </c>
      <c r="EJ29" s="38">
        <f t="shared" si="4"/>
        <v>0</v>
      </c>
      <c r="EK29" s="38">
        <f t="shared" si="5"/>
        <v>0</v>
      </c>
      <c r="EM29" s="39" t="s">
        <v>120</v>
      </c>
      <c r="EN29" s="39" t="s">
        <v>124</v>
      </c>
      <c r="GC29" s="79" t="str">
        <f ca="1">IFERROR(OFFSET(SponsorValidation[[#Headers],[Status]], $GC$27, $GC$28), "") &amp; ""</f>
        <v/>
      </c>
      <c r="GD29" s="79" t="str">
        <f ca="1">IFERROR(OFFSET(SpouseValidation[[#Headers],[Status]], $GD$27, $GD$28), "") &amp; ""</f>
        <v/>
      </c>
      <c r="GE29" s="37" t="s">
        <v>310</v>
      </c>
    </row>
    <row r="30" spans="9:187" s="37" customFormat="1" ht="12.75" customHeight="1" x14ac:dyDescent="0.2">
      <c r="I30" s="167" t="s">
        <v>66</v>
      </c>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72"/>
      <c r="AW30" s="172"/>
      <c r="AX30" s="172"/>
      <c r="AY30" s="172"/>
      <c r="AZ30" s="172"/>
      <c r="BA30" s="172"/>
      <c r="BB30" s="172"/>
      <c r="BC30" s="172"/>
      <c r="BD30" s="172"/>
      <c r="BE30" s="172"/>
      <c r="BF30" s="172"/>
      <c r="BG30" s="172"/>
      <c r="BH30" s="172"/>
      <c r="BI30" s="172"/>
      <c r="BJ30" s="172"/>
      <c r="BK30" s="172"/>
      <c r="BL30" s="168" t="s">
        <v>46</v>
      </c>
      <c r="BM30" s="169"/>
      <c r="BN30" s="169"/>
      <c r="BO30" s="169"/>
      <c r="BP30" s="169"/>
      <c r="BQ30" s="169"/>
      <c r="BR30" s="169"/>
      <c r="BS30" s="169"/>
      <c r="BT30" s="169"/>
      <c r="BU30" s="169"/>
      <c r="BV30" s="169"/>
      <c r="BW30" s="169"/>
      <c r="BX30" s="169"/>
      <c r="BY30" s="169"/>
      <c r="BZ30" s="169"/>
      <c r="CA30" s="169"/>
      <c r="CB30" s="169"/>
      <c r="CC30" s="169"/>
      <c r="CD30" s="169"/>
      <c r="CE30" s="169"/>
      <c r="CF30" s="170"/>
      <c r="CG30" s="172"/>
      <c r="CH30" s="172"/>
      <c r="CI30" s="172"/>
      <c r="CJ30" s="172"/>
      <c r="CK30" s="172"/>
      <c r="CL30" s="172"/>
      <c r="CM30" s="172"/>
      <c r="CN30" s="172"/>
      <c r="CO30" s="172"/>
      <c r="CP30" s="172"/>
      <c r="CQ30" s="172"/>
      <c r="CR30" s="172"/>
      <c r="CS30" s="172"/>
      <c r="CT30" s="172"/>
      <c r="CU30" s="172"/>
      <c r="CV30" s="172"/>
      <c r="CW30" s="210" t="s">
        <v>116</v>
      </c>
      <c r="CX30" s="211"/>
      <c r="CY30" s="211"/>
      <c r="CZ30" s="211"/>
      <c r="DA30" s="211"/>
      <c r="DB30" s="211"/>
      <c r="DC30" s="211"/>
      <c r="DD30" s="211"/>
      <c r="DE30" s="211"/>
      <c r="DF30" s="169">
        <f>EI30</f>
        <v>12</v>
      </c>
      <c r="DG30" s="169"/>
      <c r="DH30" s="169"/>
      <c r="DI30" s="169"/>
      <c r="DJ30" s="154" t="s">
        <v>47</v>
      </c>
      <c r="DK30" s="154"/>
      <c r="DL30" s="154"/>
      <c r="DM30" s="154"/>
      <c r="DN30" s="154"/>
      <c r="DO30" s="154"/>
      <c r="DP30" s="154"/>
      <c r="DQ30" s="199"/>
      <c r="DR30" s="203">
        <f t="shared" si="3"/>
        <v>0</v>
      </c>
      <c r="DS30" s="177"/>
      <c r="DT30" s="177"/>
      <c r="DU30" s="177"/>
      <c r="DV30" s="177"/>
      <c r="DW30" s="177"/>
      <c r="DX30" s="177"/>
      <c r="DY30" s="177"/>
      <c r="DZ30" s="177"/>
      <c r="EA30" s="177"/>
      <c r="EB30" s="177"/>
      <c r="EC30" s="177"/>
      <c r="ED30" s="177"/>
      <c r="EE30" s="177"/>
      <c r="EF30" s="177"/>
      <c r="EG30" s="177"/>
      <c r="EI30" s="46">
        <v>12</v>
      </c>
      <c r="EJ30" s="38">
        <f t="shared" si="4"/>
        <v>0</v>
      </c>
      <c r="EK30" s="38">
        <f t="shared" si="5"/>
        <v>0</v>
      </c>
      <c r="EM30" s="39" t="s">
        <v>120</v>
      </c>
      <c r="EN30" s="39" t="s">
        <v>124</v>
      </c>
    </row>
    <row r="31" spans="9:187" s="37" customFormat="1" ht="12.75" customHeight="1" x14ac:dyDescent="0.2">
      <c r="I31" s="167" t="s">
        <v>67</v>
      </c>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72"/>
      <c r="AW31" s="172"/>
      <c r="AX31" s="172"/>
      <c r="AY31" s="172"/>
      <c r="AZ31" s="172"/>
      <c r="BA31" s="172"/>
      <c r="BB31" s="172"/>
      <c r="BC31" s="172"/>
      <c r="BD31" s="172"/>
      <c r="BE31" s="172"/>
      <c r="BF31" s="172"/>
      <c r="BG31" s="172"/>
      <c r="BH31" s="172"/>
      <c r="BI31" s="172"/>
      <c r="BJ31" s="172"/>
      <c r="BK31" s="172"/>
      <c r="BL31" s="168" t="s">
        <v>46</v>
      </c>
      <c r="BM31" s="169"/>
      <c r="BN31" s="169"/>
      <c r="BO31" s="169"/>
      <c r="BP31" s="169"/>
      <c r="BQ31" s="169"/>
      <c r="BR31" s="169"/>
      <c r="BS31" s="169"/>
      <c r="BT31" s="169"/>
      <c r="BU31" s="169"/>
      <c r="BV31" s="169"/>
      <c r="BW31" s="169"/>
      <c r="BX31" s="169"/>
      <c r="BY31" s="169"/>
      <c r="BZ31" s="169"/>
      <c r="CA31" s="169"/>
      <c r="CB31" s="169"/>
      <c r="CC31" s="169"/>
      <c r="CD31" s="169"/>
      <c r="CE31" s="169"/>
      <c r="CF31" s="170"/>
      <c r="CG31" s="172"/>
      <c r="CH31" s="172"/>
      <c r="CI31" s="172"/>
      <c r="CJ31" s="172"/>
      <c r="CK31" s="172"/>
      <c r="CL31" s="172"/>
      <c r="CM31" s="172"/>
      <c r="CN31" s="172"/>
      <c r="CO31" s="172"/>
      <c r="CP31" s="172"/>
      <c r="CQ31" s="172"/>
      <c r="CR31" s="172"/>
      <c r="CS31" s="172"/>
      <c r="CT31" s="172"/>
      <c r="CU31" s="172"/>
      <c r="CV31" s="172"/>
      <c r="CW31" s="210" t="s">
        <v>116</v>
      </c>
      <c r="CX31" s="211"/>
      <c r="CY31" s="211"/>
      <c r="CZ31" s="211"/>
      <c r="DA31" s="211"/>
      <c r="DB31" s="211"/>
      <c r="DC31" s="211"/>
      <c r="DD31" s="211"/>
      <c r="DE31" s="211"/>
      <c r="DF31" s="169">
        <f>EI31</f>
        <v>24</v>
      </c>
      <c r="DG31" s="169"/>
      <c r="DH31" s="169"/>
      <c r="DI31" s="169"/>
      <c r="DJ31" s="154" t="s">
        <v>47</v>
      </c>
      <c r="DK31" s="154"/>
      <c r="DL31" s="154"/>
      <c r="DM31" s="154"/>
      <c r="DN31" s="154"/>
      <c r="DO31" s="154"/>
      <c r="DP31" s="154"/>
      <c r="DQ31" s="199"/>
      <c r="DR31" s="203">
        <f t="shared" si="3"/>
        <v>0</v>
      </c>
      <c r="DS31" s="177"/>
      <c r="DT31" s="177"/>
      <c r="DU31" s="177"/>
      <c r="DV31" s="177"/>
      <c r="DW31" s="177"/>
      <c r="DX31" s="177"/>
      <c r="DY31" s="177"/>
      <c r="DZ31" s="177"/>
      <c r="EA31" s="177"/>
      <c r="EB31" s="177"/>
      <c r="EC31" s="177"/>
      <c r="ED31" s="177"/>
      <c r="EE31" s="177"/>
      <c r="EF31" s="177"/>
      <c r="EG31" s="177"/>
      <c r="EI31" s="46">
        <v>24</v>
      </c>
      <c r="EJ31" s="38">
        <f t="shared" si="4"/>
        <v>0</v>
      </c>
      <c r="EK31" s="38">
        <f t="shared" si="5"/>
        <v>0</v>
      </c>
      <c r="EM31" s="39" t="s">
        <v>120</v>
      </c>
      <c r="EN31" s="39" t="s">
        <v>124</v>
      </c>
    </row>
    <row r="32" spans="9:187" s="37" customFormat="1" ht="12.75" customHeight="1" x14ac:dyDescent="0.2">
      <c r="I32" s="167" t="s">
        <v>68</v>
      </c>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72"/>
      <c r="AW32" s="172"/>
      <c r="AX32" s="172"/>
      <c r="AY32" s="172"/>
      <c r="AZ32" s="172"/>
      <c r="BA32" s="172"/>
      <c r="BB32" s="172"/>
      <c r="BC32" s="172"/>
      <c r="BD32" s="172"/>
      <c r="BE32" s="172"/>
      <c r="BF32" s="172"/>
      <c r="BG32" s="172"/>
      <c r="BH32" s="172"/>
      <c r="BI32" s="172"/>
      <c r="BJ32" s="172"/>
      <c r="BK32" s="172"/>
      <c r="BL32" s="168" t="s">
        <v>46</v>
      </c>
      <c r="BM32" s="169"/>
      <c r="BN32" s="169"/>
      <c r="BO32" s="169"/>
      <c r="BP32" s="169"/>
      <c r="BQ32" s="169"/>
      <c r="BR32" s="169"/>
      <c r="BS32" s="169"/>
      <c r="BT32" s="169"/>
      <c r="BU32" s="169"/>
      <c r="BV32" s="169"/>
      <c r="BW32" s="169"/>
      <c r="BX32" s="169"/>
      <c r="BY32" s="169"/>
      <c r="BZ32" s="169"/>
      <c r="CA32" s="169"/>
      <c r="CB32" s="169"/>
      <c r="CC32" s="169"/>
      <c r="CD32" s="169"/>
      <c r="CE32" s="169"/>
      <c r="CF32" s="170"/>
      <c r="CG32" s="172"/>
      <c r="CH32" s="172"/>
      <c r="CI32" s="172"/>
      <c r="CJ32" s="172"/>
      <c r="CK32" s="172"/>
      <c r="CL32" s="172"/>
      <c r="CM32" s="172"/>
      <c r="CN32" s="172"/>
      <c r="CO32" s="172"/>
      <c r="CP32" s="172"/>
      <c r="CQ32" s="172"/>
      <c r="CR32" s="172"/>
      <c r="CS32" s="172"/>
      <c r="CT32" s="172"/>
      <c r="CU32" s="172"/>
      <c r="CV32" s="172"/>
      <c r="CW32" s="168" t="s">
        <v>24</v>
      </c>
      <c r="CX32" s="169"/>
      <c r="CY32" s="169"/>
      <c r="CZ32" s="169"/>
      <c r="DA32" s="169"/>
      <c r="DB32" s="169"/>
      <c r="DC32" s="169"/>
      <c r="DD32" s="169"/>
      <c r="DE32" s="169"/>
      <c r="DF32" s="169"/>
      <c r="DG32" s="169"/>
      <c r="DH32" s="169"/>
      <c r="DI32" s="169"/>
      <c r="DJ32" s="169"/>
      <c r="DK32" s="169"/>
      <c r="DL32" s="169"/>
      <c r="DM32" s="169"/>
      <c r="DN32" s="169"/>
      <c r="DO32" s="169"/>
      <c r="DP32" s="169"/>
      <c r="DQ32" s="169"/>
      <c r="DR32" s="203">
        <f t="shared" si="3"/>
        <v>0</v>
      </c>
      <c r="DS32" s="177"/>
      <c r="DT32" s="177"/>
      <c r="DU32" s="177"/>
      <c r="DV32" s="177"/>
      <c r="DW32" s="177"/>
      <c r="DX32" s="177"/>
      <c r="DY32" s="177"/>
      <c r="DZ32" s="177"/>
      <c r="EA32" s="177"/>
      <c r="EB32" s="177"/>
      <c r="EC32" s="177"/>
      <c r="ED32" s="177"/>
      <c r="EE32" s="177"/>
      <c r="EF32" s="177"/>
      <c r="EG32" s="177"/>
      <c r="EI32" s="46">
        <v>1</v>
      </c>
      <c r="EJ32" s="38">
        <f t="shared" si="4"/>
        <v>0</v>
      </c>
      <c r="EK32" s="38">
        <f t="shared" si="5"/>
        <v>0</v>
      </c>
      <c r="EM32" s="39" t="s">
        <v>120</v>
      </c>
      <c r="EN32" s="39" t="s">
        <v>124</v>
      </c>
    </row>
    <row r="33" spans="7:187" s="37" customFormat="1" ht="12.75" customHeight="1" x14ac:dyDescent="0.2">
      <c r="I33" s="213" t="s">
        <v>534</v>
      </c>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172"/>
      <c r="AW33" s="172"/>
      <c r="AX33" s="172"/>
      <c r="AY33" s="172"/>
      <c r="AZ33" s="172"/>
      <c r="BA33" s="172"/>
      <c r="BB33" s="172"/>
      <c r="BC33" s="172"/>
      <c r="BD33" s="172"/>
      <c r="BE33" s="172"/>
      <c r="BF33" s="172"/>
      <c r="BG33" s="172"/>
      <c r="BH33" s="172"/>
      <c r="BI33" s="172"/>
      <c r="BJ33" s="172"/>
      <c r="BK33" s="172"/>
      <c r="BL33" s="168" t="s">
        <v>46</v>
      </c>
      <c r="BM33" s="169"/>
      <c r="BN33" s="169"/>
      <c r="BO33" s="169"/>
      <c r="BP33" s="169"/>
      <c r="BQ33" s="169"/>
      <c r="BR33" s="169"/>
      <c r="BS33" s="169"/>
      <c r="BT33" s="169"/>
      <c r="BU33" s="169"/>
      <c r="BV33" s="169"/>
      <c r="BW33" s="169"/>
      <c r="BX33" s="169"/>
      <c r="BY33" s="169"/>
      <c r="BZ33" s="169"/>
      <c r="CA33" s="169"/>
      <c r="CB33" s="169"/>
      <c r="CC33" s="169"/>
      <c r="CD33" s="169"/>
      <c r="CE33" s="169"/>
      <c r="CF33" s="170"/>
      <c r="CG33" s="172"/>
      <c r="CH33" s="172"/>
      <c r="CI33" s="172"/>
      <c r="CJ33" s="172"/>
      <c r="CK33" s="172"/>
      <c r="CL33" s="172"/>
      <c r="CM33" s="172"/>
      <c r="CN33" s="172"/>
      <c r="CO33" s="172"/>
      <c r="CP33" s="172"/>
      <c r="CQ33" s="172"/>
      <c r="CR33" s="172"/>
      <c r="CS33" s="172"/>
      <c r="CT33" s="172"/>
      <c r="CU33" s="172"/>
      <c r="CV33" s="172"/>
      <c r="CW33" s="168" t="s">
        <v>35</v>
      </c>
      <c r="CX33" s="169"/>
      <c r="CY33" s="169"/>
      <c r="CZ33" s="169"/>
      <c r="DA33" s="169"/>
      <c r="DB33" s="169"/>
      <c r="DC33" s="169"/>
      <c r="DD33" s="169"/>
      <c r="DE33" s="169"/>
      <c r="DF33" s="169"/>
      <c r="DG33" s="169"/>
      <c r="DH33" s="169"/>
      <c r="DI33" s="169"/>
      <c r="DJ33" s="169"/>
      <c r="DK33" s="169"/>
      <c r="DL33" s="169"/>
      <c r="DM33" s="169"/>
      <c r="DN33" s="169"/>
      <c r="DO33" s="169"/>
      <c r="DP33" s="169"/>
      <c r="DQ33" s="169"/>
      <c r="DR33" s="203">
        <f t="shared" si="3"/>
        <v>0</v>
      </c>
      <c r="DS33" s="177"/>
      <c r="DT33" s="177"/>
      <c r="DU33" s="177"/>
      <c r="DV33" s="177"/>
      <c r="DW33" s="177"/>
      <c r="DX33" s="177"/>
      <c r="DY33" s="177"/>
      <c r="DZ33" s="177"/>
      <c r="EA33" s="177"/>
      <c r="EB33" s="177"/>
      <c r="EC33" s="177"/>
      <c r="ED33" s="177"/>
      <c r="EE33" s="177"/>
      <c r="EF33" s="177"/>
      <c r="EG33" s="177"/>
      <c r="EI33" s="46">
        <v>1</v>
      </c>
      <c r="EJ33" s="38">
        <f t="shared" si="4"/>
        <v>0</v>
      </c>
      <c r="EK33" s="38">
        <f t="shared" si="5"/>
        <v>0</v>
      </c>
      <c r="EM33" s="39" t="s">
        <v>123</v>
      </c>
      <c r="EN33" s="39" t="s">
        <v>125</v>
      </c>
      <c r="GC33" s="37" t="str">
        <f ca="1">OFFSET(StatusBranchGrade[[#Headers],[Grade]], $GC$18, 0) &amp; ""</f>
        <v/>
      </c>
      <c r="GD33" s="37" t="str">
        <f ca="1">OFFSET(StatusBranchGrade[[#Headers],[Grade]], $GD$18, 0) &amp; ""</f>
        <v/>
      </c>
      <c r="GE33" s="37" t="s">
        <v>372</v>
      </c>
    </row>
    <row r="34" spans="7:187" s="37" customFormat="1" ht="12.75" customHeight="1" x14ac:dyDescent="0.2">
      <c r="I34" s="153" t="s">
        <v>129</v>
      </c>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5"/>
      <c r="AV34" s="172"/>
      <c r="AW34" s="172"/>
      <c r="AX34" s="172"/>
      <c r="AY34" s="172"/>
      <c r="AZ34" s="172"/>
      <c r="BA34" s="172"/>
      <c r="BB34" s="172"/>
      <c r="BC34" s="172"/>
      <c r="BD34" s="172"/>
      <c r="BE34" s="172"/>
      <c r="BF34" s="172"/>
      <c r="BG34" s="172"/>
      <c r="BH34" s="172"/>
      <c r="BI34" s="172"/>
      <c r="BJ34" s="172"/>
      <c r="BK34" s="172"/>
      <c r="BL34" s="168" t="s">
        <v>46</v>
      </c>
      <c r="BM34" s="169"/>
      <c r="BN34" s="169"/>
      <c r="BO34" s="169"/>
      <c r="BP34" s="169"/>
      <c r="BQ34" s="169"/>
      <c r="BR34" s="169"/>
      <c r="BS34" s="169"/>
      <c r="BT34" s="169"/>
      <c r="BU34" s="169"/>
      <c r="BV34" s="169"/>
      <c r="BW34" s="169"/>
      <c r="BX34" s="169"/>
      <c r="BY34" s="169"/>
      <c r="BZ34" s="169"/>
      <c r="CA34" s="169"/>
      <c r="CB34" s="169"/>
      <c r="CC34" s="169"/>
      <c r="CD34" s="169"/>
      <c r="CE34" s="169"/>
      <c r="CF34" s="170"/>
      <c r="CG34" s="172"/>
      <c r="CH34" s="172"/>
      <c r="CI34" s="172"/>
      <c r="CJ34" s="172"/>
      <c r="CK34" s="172"/>
      <c r="CL34" s="172"/>
      <c r="CM34" s="172"/>
      <c r="CN34" s="172"/>
      <c r="CO34" s="172"/>
      <c r="CP34" s="172"/>
      <c r="CQ34" s="172"/>
      <c r="CR34" s="172"/>
      <c r="CS34" s="172"/>
      <c r="CT34" s="172"/>
      <c r="CU34" s="172"/>
      <c r="CV34" s="172"/>
      <c r="CW34" s="210" t="s">
        <v>116</v>
      </c>
      <c r="CX34" s="211"/>
      <c r="CY34" s="211"/>
      <c r="CZ34" s="211"/>
      <c r="DA34" s="211"/>
      <c r="DB34" s="211"/>
      <c r="DC34" s="211"/>
      <c r="DD34" s="211"/>
      <c r="DE34" s="211"/>
      <c r="DF34" s="169">
        <f>EI34</f>
        <v>12</v>
      </c>
      <c r="DG34" s="169"/>
      <c r="DH34" s="169"/>
      <c r="DI34" s="169"/>
      <c r="DJ34" s="154" t="s">
        <v>47</v>
      </c>
      <c r="DK34" s="154"/>
      <c r="DL34" s="154"/>
      <c r="DM34" s="154"/>
      <c r="DN34" s="154"/>
      <c r="DO34" s="154"/>
      <c r="DP34" s="154"/>
      <c r="DQ34" s="199"/>
      <c r="DR34" s="203">
        <f t="shared" si="3"/>
        <v>0</v>
      </c>
      <c r="DS34" s="177"/>
      <c r="DT34" s="177"/>
      <c r="DU34" s="177"/>
      <c r="DV34" s="177"/>
      <c r="DW34" s="177"/>
      <c r="DX34" s="177"/>
      <c r="DY34" s="177"/>
      <c r="DZ34" s="177"/>
      <c r="EA34" s="177"/>
      <c r="EB34" s="177"/>
      <c r="EC34" s="177"/>
      <c r="ED34" s="177"/>
      <c r="EE34" s="177"/>
      <c r="EF34" s="177"/>
      <c r="EG34" s="177"/>
      <c r="EI34" s="46">
        <v>12</v>
      </c>
      <c r="EJ34" s="38">
        <f t="shared" si="4"/>
        <v>0</v>
      </c>
      <c r="EK34" s="38">
        <f t="shared" si="5"/>
        <v>0</v>
      </c>
      <c r="EM34" s="39" t="s">
        <v>123</v>
      </c>
      <c r="EN34" s="39" t="s">
        <v>125</v>
      </c>
    </row>
    <row r="35" spans="7:187" s="37" customFormat="1" ht="12.75" customHeight="1" thickBot="1" x14ac:dyDescent="0.25">
      <c r="I35" s="153" t="s">
        <v>130</v>
      </c>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5"/>
      <c r="AV35" s="182"/>
      <c r="AW35" s="183"/>
      <c r="AX35" s="183"/>
      <c r="AY35" s="183"/>
      <c r="AZ35" s="183"/>
      <c r="BA35" s="183"/>
      <c r="BB35" s="183"/>
      <c r="BC35" s="183"/>
      <c r="BD35" s="183"/>
      <c r="BE35" s="183"/>
      <c r="BF35" s="183"/>
      <c r="BG35" s="183"/>
      <c r="BH35" s="183"/>
      <c r="BI35" s="183"/>
      <c r="BJ35" s="183"/>
      <c r="BK35" s="184"/>
      <c r="BL35" s="168" t="s">
        <v>46</v>
      </c>
      <c r="BM35" s="169"/>
      <c r="BN35" s="169"/>
      <c r="BO35" s="169"/>
      <c r="BP35" s="169"/>
      <c r="BQ35" s="169"/>
      <c r="BR35" s="169"/>
      <c r="BS35" s="169"/>
      <c r="BT35" s="169"/>
      <c r="BU35" s="169"/>
      <c r="BV35" s="169"/>
      <c r="BW35" s="169"/>
      <c r="BX35" s="169"/>
      <c r="BY35" s="169"/>
      <c r="BZ35" s="169"/>
      <c r="CA35" s="169"/>
      <c r="CB35" s="169"/>
      <c r="CC35" s="169"/>
      <c r="CD35" s="169"/>
      <c r="CE35" s="169"/>
      <c r="CF35" s="170"/>
      <c r="CG35" s="182"/>
      <c r="CH35" s="183"/>
      <c r="CI35" s="183"/>
      <c r="CJ35" s="183"/>
      <c r="CK35" s="183"/>
      <c r="CL35" s="183"/>
      <c r="CM35" s="183"/>
      <c r="CN35" s="183"/>
      <c r="CO35" s="183"/>
      <c r="CP35" s="183"/>
      <c r="CQ35" s="183"/>
      <c r="CR35" s="183"/>
      <c r="CS35" s="183"/>
      <c r="CT35" s="183"/>
      <c r="CU35" s="183"/>
      <c r="CV35" s="184"/>
      <c r="CW35" s="202" t="s">
        <v>116</v>
      </c>
      <c r="CX35" s="202"/>
      <c r="CY35" s="202"/>
      <c r="CZ35" s="294">
        <v>3</v>
      </c>
      <c r="DA35" s="294"/>
      <c r="DB35" s="294"/>
      <c r="DC35" s="294"/>
      <c r="DD35" s="294"/>
      <c r="DE35" s="294"/>
      <c r="DF35" s="294"/>
      <c r="DG35" s="294"/>
      <c r="DH35" s="294"/>
      <c r="DI35" s="294"/>
      <c r="DJ35" s="294"/>
      <c r="DK35" s="294"/>
      <c r="DL35" s="294"/>
      <c r="DM35" s="294"/>
      <c r="DN35" s="294"/>
      <c r="DO35" s="294"/>
      <c r="DP35" s="294"/>
      <c r="DQ35" s="295"/>
      <c r="DR35" s="203">
        <f t="shared" si="3"/>
        <v>0</v>
      </c>
      <c r="DS35" s="177"/>
      <c r="DT35" s="177"/>
      <c r="DU35" s="177"/>
      <c r="DV35" s="177"/>
      <c r="DW35" s="177"/>
      <c r="DX35" s="177"/>
      <c r="DY35" s="177"/>
      <c r="DZ35" s="177"/>
      <c r="EA35" s="177"/>
      <c r="EB35" s="177"/>
      <c r="EC35" s="177"/>
      <c r="ED35" s="177"/>
      <c r="EE35" s="177"/>
      <c r="EF35" s="177"/>
      <c r="EG35" s="177"/>
      <c r="EI35" s="46">
        <f>CZ35</f>
        <v>3</v>
      </c>
      <c r="EJ35" s="38">
        <f t="shared" si="4"/>
        <v>0</v>
      </c>
      <c r="EK35" s="38">
        <f t="shared" si="5"/>
        <v>0</v>
      </c>
      <c r="EM35" s="39" t="s">
        <v>120</v>
      </c>
      <c r="EN35" s="39" t="s">
        <v>124</v>
      </c>
      <c r="EO35" s="43"/>
      <c r="GC35" s="37" t="e">
        <f ca="1">MATCH($GC$33, Rank[Sponsor], 0)</f>
        <v>#N/A</v>
      </c>
      <c r="GD35" s="37" t="e">
        <f ca="1">MATCH($GD$33, Rank[[#Headers],[E-1]:[O-10]], 0)</f>
        <v>#N/A</v>
      </c>
      <c r="GE35" s="37" t="s">
        <v>373</v>
      </c>
    </row>
    <row r="36" spans="7:187" s="37" customFormat="1" ht="12.75" customHeight="1" thickTop="1" x14ac:dyDescent="0.2">
      <c r="I36" s="153" t="s">
        <v>37</v>
      </c>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5"/>
      <c r="AV36" s="212">
        <f>MAX(0, AV28 * 52) + MAX(0, AV29 * 26) + MAX(0, AV30 * 12) + MAX(0, AV31 * 24) + MAX(0, AV32) + MAX(0, AV33) + MAX(0, AV34 * 12) + MAX(0, AV35 * $CZ35)</f>
        <v>0</v>
      </c>
      <c r="AW36" s="212"/>
      <c r="AX36" s="212"/>
      <c r="AY36" s="212"/>
      <c r="AZ36" s="212"/>
      <c r="BA36" s="212"/>
      <c r="BB36" s="212"/>
      <c r="BC36" s="212"/>
      <c r="BD36" s="212"/>
      <c r="BE36" s="212"/>
      <c r="BF36" s="212"/>
      <c r="BG36" s="212"/>
      <c r="BH36" s="212"/>
      <c r="BI36" s="212"/>
      <c r="BJ36" s="212"/>
      <c r="BK36" s="212"/>
      <c r="BL36" s="168" t="s">
        <v>46</v>
      </c>
      <c r="BM36" s="169"/>
      <c r="BN36" s="169"/>
      <c r="BO36" s="169"/>
      <c r="BP36" s="169"/>
      <c r="BQ36" s="169"/>
      <c r="BR36" s="169"/>
      <c r="BS36" s="169"/>
      <c r="BT36" s="169"/>
      <c r="BU36" s="169"/>
      <c r="BV36" s="169"/>
      <c r="BW36" s="169"/>
      <c r="BX36" s="169"/>
      <c r="BY36" s="169"/>
      <c r="BZ36" s="169"/>
      <c r="CA36" s="169"/>
      <c r="CB36" s="169"/>
      <c r="CC36" s="169"/>
      <c r="CD36" s="169"/>
      <c r="CE36" s="169"/>
      <c r="CF36" s="170"/>
      <c r="CG36" s="212">
        <f>MAX(0, CG28 * 52) + MAX(0, CG29 * 26) + MAX(0, CG30 * 12) + MAX(0, CG31 * 24) + MAX(0, CG32) + MAX(0, CG33) + MAX(0, CG34 * 12) + MAX(0, CG35 * $CZ35)</f>
        <v>0</v>
      </c>
      <c r="CH36" s="212"/>
      <c r="CI36" s="212"/>
      <c r="CJ36" s="212"/>
      <c r="CK36" s="212"/>
      <c r="CL36" s="212"/>
      <c r="CM36" s="212"/>
      <c r="CN36" s="212"/>
      <c r="CO36" s="212"/>
      <c r="CP36" s="212"/>
      <c r="CQ36" s="212"/>
      <c r="CR36" s="212"/>
      <c r="CS36" s="212"/>
      <c r="CT36" s="212"/>
      <c r="CU36" s="212"/>
      <c r="CV36" s="212"/>
      <c r="CW36" s="168" t="s">
        <v>47</v>
      </c>
      <c r="CX36" s="169"/>
      <c r="CY36" s="169"/>
      <c r="CZ36" s="169"/>
      <c r="DA36" s="169"/>
      <c r="DB36" s="169"/>
      <c r="DC36" s="169"/>
      <c r="DD36" s="169"/>
      <c r="DE36" s="169"/>
      <c r="DF36" s="169"/>
      <c r="DG36" s="169"/>
      <c r="DH36" s="169"/>
      <c r="DI36" s="169"/>
      <c r="DJ36" s="169"/>
      <c r="DK36" s="169"/>
      <c r="DL36" s="169"/>
      <c r="DM36" s="169"/>
      <c r="DN36" s="169"/>
      <c r="DO36" s="169"/>
      <c r="DP36" s="169"/>
      <c r="DQ36" s="171"/>
      <c r="DR36" s="240">
        <f>SUM(DR28:DR35)</f>
        <v>0</v>
      </c>
      <c r="DS36" s="240"/>
      <c r="DT36" s="240"/>
      <c r="DU36" s="240"/>
      <c r="DV36" s="240"/>
      <c r="DW36" s="240"/>
      <c r="DX36" s="240"/>
      <c r="DY36" s="240"/>
      <c r="DZ36" s="240"/>
      <c r="EA36" s="240"/>
      <c r="EB36" s="240"/>
      <c r="EC36" s="240"/>
      <c r="ED36" s="240"/>
      <c r="EE36" s="240"/>
      <c r="EF36" s="240"/>
      <c r="EG36" s="240"/>
      <c r="EO36" s="43"/>
    </row>
    <row r="37" spans="7:187" s="6" customFormat="1" ht="12.75" customHeight="1" x14ac:dyDescent="0.2">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2"/>
      <c r="AV37" s="222"/>
      <c r="AW37" s="222"/>
      <c r="AX37" s="222"/>
      <c r="AY37" s="222"/>
      <c r="AZ37" s="222"/>
      <c r="BA37" s="222"/>
      <c r="BB37" s="222"/>
      <c r="BC37" s="222"/>
      <c r="BD37" s="222"/>
      <c r="BE37" s="222"/>
      <c r="BF37" s="222"/>
      <c r="BG37" s="222"/>
      <c r="BH37" s="222"/>
      <c r="BI37" s="222"/>
      <c r="BJ37" s="222"/>
      <c r="BK37" s="222"/>
      <c r="BL37" s="285"/>
      <c r="BM37" s="286"/>
      <c r="BN37" s="286"/>
      <c r="BO37" s="286"/>
      <c r="BP37" s="286"/>
      <c r="BQ37" s="286"/>
      <c r="BR37" s="286"/>
      <c r="BS37" s="286"/>
      <c r="BT37" s="286"/>
      <c r="BU37" s="286"/>
      <c r="BV37" s="286"/>
      <c r="BW37" s="286"/>
      <c r="BX37" s="286"/>
      <c r="BY37" s="286"/>
      <c r="BZ37" s="286"/>
      <c r="CA37" s="286"/>
      <c r="CB37" s="286"/>
      <c r="CC37" s="286"/>
      <c r="CD37" s="286"/>
      <c r="CE37" s="286"/>
      <c r="CF37" s="287"/>
      <c r="CG37" s="288"/>
      <c r="CH37" s="289"/>
      <c r="CI37" s="289"/>
      <c r="CJ37" s="289"/>
      <c r="CK37" s="289"/>
      <c r="CL37" s="289"/>
      <c r="CM37" s="289"/>
      <c r="CN37" s="289"/>
      <c r="CO37" s="289"/>
      <c r="CP37" s="289"/>
      <c r="CQ37" s="289"/>
      <c r="CR37" s="289"/>
      <c r="CS37" s="289"/>
      <c r="CT37" s="289"/>
      <c r="CU37" s="289"/>
      <c r="CV37" s="290"/>
      <c r="CW37" s="288"/>
      <c r="CX37" s="289"/>
      <c r="CY37" s="289"/>
      <c r="CZ37" s="289"/>
      <c r="DA37" s="289"/>
      <c r="DB37" s="289"/>
      <c r="DC37" s="289"/>
      <c r="DD37" s="289"/>
      <c r="DE37" s="289"/>
      <c r="DF37" s="289"/>
      <c r="DG37" s="289"/>
      <c r="DH37" s="289"/>
      <c r="DI37" s="289"/>
      <c r="DJ37" s="289"/>
      <c r="DK37" s="289"/>
      <c r="DL37" s="289"/>
      <c r="DM37" s="289"/>
      <c r="DN37" s="289"/>
      <c r="DO37" s="289"/>
      <c r="DP37" s="289"/>
      <c r="DQ37" s="290"/>
      <c r="DR37" s="237"/>
      <c r="DS37" s="238"/>
      <c r="DT37" s="238"/>
      <c r="DU37" s="238"/>
      <c r="DV37" s="238"/>
      <c r="DW37" s="238"/>
      <c r="DX37" s="238"/>
      <c r="DY37" s="238"/>
      <c r="DZ37" s="238"/>
      <c r="EA37" s="238"/>
      <c r="EB37" s="238"/>
      <c r="EC37" s="238"/>
      <c r="ED37" s="238"/>
      <c r="EE37" s="238"/>
      <c r="EF37" s="238"/>
      <c r="EG37" s="239"/>
      <c r="EH37" s="301" t="str">
        <f ca="1">"&lt;-- " &amp; SUBSTITUTE(CELL("address", I37), "$", "") &amp; " overrides the fee chart dates when the chart dates need to be extended." &amp; "
      " &amp; SUBSTITUTE(CELL("address", AV37), "$", "") &amp; " overrides the ""today"" date for testing." &amp; "
      " &amp; SUBSTITUTE(CELL("address", BL37), "$", "") &amp; " overrides the ""Prepared by"" name if needed." &amp; "
      " &amp; SUBSTITUTE(CELL("address", CG37), "$", "") &amp; " overrides the preparation date if it's not today, for some reason." &amp; "
      " &amp; SUBSTITUTE(CELL("address", CW37), "$", "") &amp; " provides a printed preparation date, if you have a good reason." &amp; "
      " &amp; SUBSTITUTE(CELL("address", DR37), "$", "") &amp; " overrides the calculated CATegory, if it calculates wrong; please notify Theesa Sanders if you use this." &amp; "
      " &amp; SUBSTITUTE(CELL("address", I40), "$", "") &amp; " adds N days to the pay stub suspense date, if needed."</f>
        <v>&lt;-- I37 overrides the fee chart dates when the chart dates need to be extended.
      AV37 overrides the "today" date for testing.
      BL37 overrides the "Prepared by" name if needed.
      CG37 overrides the preparation date if it's not today, for some reason.
      CW37 provides a printed preparation date, if you have a good reason.
      DR37 overrides the calculated CATegory, if it calculates wrong; please notify Theesa Sanders if you use this.
      I40 adds N days to the pay stub suspense date, if needed.</v>
      </c>
      <c r="EI37" s="302"/>
      <c r="EJ37" s="302"/>
      <c r="EK37" s="302"/>
      <c r="EL37" s="302"/>
      <c r="EM37" s="302"/>
      <c r="EN37" s="302"/>
      <c r="EO37" s="302"/>
      <c r="EP37" s="302"/>
      <c r="EQ37" s="302"/>
      <c r="ER37" s="302"/>
      <c r="ES37" s="302"/>
      <c r="ET37" s="302"/>
      <c r="EU37" s="302"/>
      <c r="EV37" s="302"/>
      <c r="EW37" s="302"/>
      <c r="EX37" s="302"/>
      <c r="EY37" s="302"/>
      <c r="EZ37" s="302"/>
      <c r="FA37" s="302"/>
      <c r="FB37" s="302"/>
      <c r="FC37" s="302"/>
      <c r="FD37" s="302"/>
      <c r="FE37" s="302"/>
      <c r="FF37" s="302"/>
      <c r="FG37" s="302"/>
      <c r="FH37" s="302"/>
      <c r="FI37" s="302"/>
      <c r="FJ37" s="302"/>
      <c r="FK37" s="302"/>
      <c r="FL37" s="302"/>
      <c r="FM37" s="302"/>
      <c r="FN37" s="302"/>
      <c r="FO37" s="302"/>
      <c r="FP37" s="302"/>
      <c r="FQ37" s="302"/>
      <c r="FR37" s="302"/>
      <c r="FS37" s="302"/>
      <c r="FT37" s="302"/>
      <c r="FU37" s="302"/>
      <c r="FV37" s="302"/>
      <c r="FW37" s="302"/>
      <c r="FX37" s="302"/>
      <c r="FY37" s="302"/>
      <c r="FZ37" s="302"/>
      <c r="GA37" s="302"/>
      <c r="GB37" s="302"/>
      <c r="GC37" s="37" t="e">
        <f ca="1">IF(AND(GC35 &gt; 0, GD35 &gt; 0, OFFSET(Rank[[#Headers],[Sponsor]], GC35, GD35) &amp; "" = "Ok"), "Ok", "Not OK")</f>
        <v>#N/A</v>
      </c>
      <c r="GE37" s="6" t="s">
        <v>374</v>
      </c>
    </row>
    <row r="38" spans="7:187" ht="18.75" x14ac:dyDescent="0.25">
      <c r="I38" s="215" t="s">
        <v>42</v>
      </c>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c r="CE38" s="269"/>
      <c r="CF38" s="269"/>
      <c r="CG38" s="269"/>
      <c r="CH38" s="269"/>
      <c r="CI38" s="269"/>
      <c r="CJ38" s="269"/>
      <c r="CK38" s="269"/>
      <c r="CL38" s="269"/>
      <c r="CM38" s="269"/>
      <c r="CN38" s="269"/>
      <c r="CO38" s="269"/>
      <c r="CP38" s="269"/>
      <c r="CQ38" s="269"/>
      <c r="CR38" s="269"/>
      <c r="CS38" s="269"/>
      <c r="CT38" s="269"/>
      <c r="CU38" s="269"/>
      <c r="CV38" s="269"/>
      <c r="CW38" s="202" t="s">
        <v>291</v>
      </c>
      <c r="CX38" s="202"/>
      <c r="CY38" s="202"/>
      <c r="CZ38" s="202"/>
      <c r="DA38" s="202"/>
      <c r="DB38" s="202"/>
      <c r="DC38" s="202"/>
      <c r="DD38" s="202"/>
      <c r="DE38" s="202"/>
      <c r="DF38" s="202"/>
      <c r="DG38" s="202"/>
      <c r="DH38" s="202"/>
      <c r="DI38" s="202"/>
      <c r="DJ38" s="202"/>
      <c r="DK38" s="202"/>
      <c r="DL38" s="202"/>
      <c r="DM38" s="202"/>
      <c r="DN38" s="202"/>
      <c r="DO38" s="202"/>
      <c r="DP38" s="202"/>
      <c r="DQ38" s="202"/>
      <c r="DR38" s="202" t="s">
        <v>283</v>
      </c>
      <c r="DS38" s="202"/>
      <c r="DT38" s="202"/>
      <c r="DU38" s="202"/>
      <c r="DV38" s="202"/>
      <c r="DW38" s="202"/>
      <c r="DX38" s="202"/>
      <c r="DY38" s="202"/>
      <c r="DZ38" s="202"/>
      <c r="EA38" s="202"/>
      <c r="EB38" s="202"/>
      <c r="EC38" s="202"/>
      <c r="ED38" s="202"/>
      <c r="EE38" s="202"/>
      <c r="EF38" s="202"/>
      <c r="EG38" s="202"/>
      <c r="EH38" s="301"/>
      <c r="EI38" s="302"/>
      <c r="EJ38" s="302"/>
      <c r="EK38" s="302"/>
      <c r="EL38" s="302"/>
      <c r="EM38" s="302"/>
      <c r="EN38" s="302"/>
      <c r="EO38" s="302"/>
      <c r="EP38" s="302"/>
      <c r="EQ38" s="302"/>
      <c r="ER38" s="302"/>
      <c r="ES38" s="302"/>
      <c r="ET38" s="302"/>
      <c r="EU38" s="302"/>
      <c r="EV38" s="302"/>
      <c r="EW38" s="302"/>
      <c r="EX38" s="302"/>
      <c r="EY38" s="302"/>
      <c r="EZ38" s="302"/>
      <c r="FA38" s="302"/>
      <c r="FB38" s="302"/>
      <c r="FC38" s="302"/>
      <c r="FD38" s="302"/>
      <c r="FE38" s="302"/>
      <c r="FF38" s="302"/>
      <c r="FG38" s="302"/>
      <c r="FH38" s="302"/>
      <c r="FI38" s="302"/>
      <c r="FJ38" s="302"/>
      <c r="FK38" s="302"/>
      <c r="FL38" s="302"/>
      <c r="FM38" s="302"/>
      <c r="FN38" s="302"/>
      <c r="FO38" s="302"/>
      <c r="FP38" s="302"/>
      <c r="FQ38" s="302"/>
      <c r="FR38" s="302"/>
      <c r="FS38" s="302"/>
      <c r="FT38" s="302"/>
      <c r="FU38" s="302"/>
      <c r="FV38" s="302"/>
      <c r="FW38" s="302"/>
      <c r="FX38" s="302"/>
      <c r="FY38" s="302"/>
      <c r="FZ38" s="302"/>
      <c r="GA38" s="302"/>
      <c r="GB38" s="302"/>
      <c r="GC38" s="4" t="str">
        <f ca="1">IF(OR(OFFSET(Lists!AP1, IFERROR(MATCH($AV$10 &amp; "", Lists!AO2:AO9, 0), 1), 0) = "Z-UNEMSK", OFFSET(Lists!AP1, IFERROR(MATCH($CG$10 &amp; "", Lists!AO2:AO9, 0), 1), 0) = "Z-UNEMSK"),
          "employment, ", "") &amp;
          IF(OR(OFFSET(Lists!AP1, IFERROR(MATCH($AV$10 &amp; "", Lists!AO2:AO9, 0), 1), 0) = "Z-STUFT", OFFSET(Lists!AP1, IFERROR(MATCH($CG$10 &amp; "", Lists!AO2:AO9, 0), 1), 0) = "Z-STUFT"),
               "full-time class schedule, ", "") &amp;
               IF(OR(OFFSET(Lists!AP1, IFERROR(MATCH($AV$10 &amp; "", Lists!AO2:AO9, 0), 1), 0) = "Z-EMPFT2", OFFSET(Lists!AP1, IFERROR(MATCH($CG$10 &amp; "", Lists!AO2:AO9, 0), 1), 0) = "Z-EMPFT2", OFFSET(Lists!AP1, IFERROR(MATCH($CG$10 &amp; "", Lists!AO2:AO9, 0), 1), 0) = "Z-STUPT", OFFSET(Lists!AP1, IFERROR(MATCH($AV$10 &amp; "", Lists!AO2:AO9, 0), 1), 0) = "Z-STUPT"),
               "part-time class schedule, ", "") &amp;
               IF(Verification &amp; "" = "", "", OFFSET( Lists!AC1, MATCH(Verification, Lists!AB2:AB2, 0), 0))</f>
        <v/>
      </c>
    </row>
    <row r="39" spans="7:187" s="37" customFormat="1" ht="12.75" customHeight="1" x14ac:dyDescent="0.2">
      <c r="I39" s="227" t="str">
        <f ca="1">IFERROR("Must report " &amp; LEFT($GC$38, LEN($GC$38) -2)
 &amp; " by:", "")</f>
        <v/>
      </c>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c r="CP39" s="228"/>
      <c r="CQ39" s="228"/>
      <c r="CR39" s="228"/>
      <c r="CS39" s="228"/>
      <c r="CT39" s="228"/>
      <c r="CU39" s="228"/>
      <c r="CV39" s="228"/>
      <c r="CW39" s="224" t="str">
        <f ca="1">IF(I39 &gt; "", TEXT(TODAY() + 30 + IFERROR(I40 + 0, 0), "dd MMM yyyy"), "")</f>
        <v/>
      </c>
      <c r="CX39" s="225"/>
      <c r="CY39" s="225"/>
      <c r="CZ39" s="225"/>
      <c r="DA39" s="225"/>
      <c r="DB39" s="225"/>
      <c r="DC39" s="225"/>
      <c r="DD39" s="225"/>
      <c r="DE39" s="225"/>
      <c r="DF39" s="225"/>
      <c r="DG39" s="225"/>
      <c r="DH39" s="225"/>
      <c r="DI39" s="225"/>
      <c r="DJ39" s="225"/>
      <c r="DK39" s="225"/>
      <c r="DL39" s="225"/>
      <c r="DM39" s="225"/>
      <c r="DN39" s="225"/>
      <c r="DO39" s="225"/>
      <c r="DP39" s="225"/>
      <c r="DQ39" s="226"/>
      <c r="DR39" s="217"/>
      <c r="DS39" s="217"/>
      <c r="DT39" s="217"/>
      <c r="DU39" s="217"/>
      <c r="DV39" s="217"/>
      <c r="DW39" s="217"/>
      <c r="DX39" s="217"/>
      <c r="DY39" s="217"/>
      <c r="DZ39" s="217"/>
      <c r="EA39" s="217"/>
      <c r="EB39" s="217"/>
      <c r="EC39" s="217"/>
      <c r="ED39" s="217"/>
      <c r="EE39" s="217"/>
      <c r="EF39" s="217"/>
      <c r="EG39" s="217"/>
      <c r="EH39" s="301"/>
      <c r="EI39" s="302"/>
      <c r="EJ39" s="302"/>
      <c r="EK39" s="302"/>
      <c r="EL39" s="302"/>
      <c r="EM39" s="302"/>
      <c r="EN39" s="302"/>
      <c r="EO39" s="302"/>
      <c r="EP39" s="302"/>
      <c r="EQ39" s="302"/>
      <c r="ER39" s="302"/>
      <c r="ES39" s="302"/>
      <c r="ET39" s="302"/>
      <c r="EU39" s="302"/>
      <c r="EV39" s="302"/>
      <c r="EW39" s="302"/>
      <c r="EX39" s="302"/>
      <c r="EY39" s="302"/>
      <c r="EZ39" s="302"/>
      <c r="FA39" s="302"/>
      <c r="FB39" s="302"/>
      <c r="FC39" s="302"/>
      <c r="FD39" s="302"/>
      <c r="FE39" s="302"/>
      <c r="FF39" s="302"/>
      <c r="FG39" s="302"/>
      <c r="FH39" s="302"/>
      <c r="FI39" s="302"/>
      <c r="FJ39" s="302"/>
      <c r="FK39" s="302"/>
      <c r="FL39" s="302"/>
      <c r="FM39" s="302"/>
      <c r="FN39" s="302"/>
      <c r="FO39" s="302"/>
      <c r="FP39" s="302"/>
      <c r="FQ39" s="302"/>
      <c r="FR39" s="302"/>
      <c r="FS39" s="302"/>
      <c r="FT39" s="302"/>
      <c r="FU39" s="302"/>
      <c r="FV39" s="302"/>
      <c r="FW39" s="302"/>
      <c r="FX39" s="302"/>
      <c r="FY39" s="302"/>
      <c r="FZ39" s="302"/>
      <c r="GA39" s="302"/>
      <c r="GB39" s="302"/>
      <c r="GC39" s="37" t="str">
        <f ca="1">IF(AND($GC$19 &amp; "" = "", $GD$19 &amp; "" &gt; ""), $GD$19, IF(AND($GD$19 = "", $GC$19 &gt; ""), $GC$19, IF($GC$19 &lt; $GD$19, $GC$19, $GD$19))) &amp; ""</f>
        <v/>
      </c>
      <c r="GE39" s="37" t="s">
        <v>359</v>
      </c>
    </row>
    <row r="40" spans="7:187" s="37" customFormat="1" ht="12.75" customHeight="1" x14ac:dyDescent="0.2">
      <c r="I40" s="303"/>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5"/>
      <c r="CW40" s="210" t="s">
        <v>292</v>
      </c>
      <c r="CX40" s="211"/>
      <c r="CY40" s="211"/>
      <c r="CZ40" s="211"/>
      <c r="DA40" s="211"/>
      <c r="DB40" s="211"/>
      <c r="DC40" s="211"/>
      <c r="DD40" s="211"/>
      <c r="DE40" s="211"/>
      <c r="DF40" s="211"/>
      <c r="DG40" s="211"/>
      <c r="DH40" s="211"/>
      <c r="DI40" s="211"/>
      <c r="DJ40" s="211"/>
      <c r="DK40" s="211"/>
      <c r="DL40" s="211"/>
      <c r="DM40" s="211"/>
      <c r="DN40" s="211"/>
      <c r="DO40" s="211"/>
      <c r="DP40" s="211"/>
      <c r="DQ40" s="282"/>
      <c r="DR40" s="229" t="e">
        <f ca="1">IF(AND($GC$39 = "", $GC$40 &gt; ""), $GC$40, IF(AND($GC$40 = "", $GC$39 &gt; ""), $GC$39, IF($GC$39 &lt; $GC$40, $GC$39, $GC$40)))</f>
        <v>#N/A</v>
      </c>
      <c r="DS40" s="229"/>
      <c r="DT40" s="229"/>
      <c r="DU40" s="229"/>
      <c r="DV40" s="229"/>
      <c r="DW40" s="229"/>
      <c r="DX40" s="229"/>
      <c r="DY40" s="229"/>
      <c r="DZ40" s="229"/>
      <c r="EA40" s="229"/>
      <c r="EB40" s="229"/>
      <c r="EC40" s="229"/>
      <c r="ED40" s="229"/>
      <c r="EE40" s="229"/>
      <c r="EF40" s="229"/>
      <c r="EG40" s="229"/>
      <c r="EH40" s="301"/>
      <c r="EI40" s="302"/>
      <c r="EJ40" s="302"/>
      <c r="EK40" s="302"/>
      <c r="EL40" s="302"/>
      <c r="EM40" s="302"/>
      <c r="EN40" s="302"/>
      <c r="EO40" s="302"/>
      <c r="EP40" s="302"/>
      <c r="EQ40" s="302"/>
      <c r="ER40" s="302"/>
      <c r="ES40" s="302"/>
      <c r="ET40" s="302"/>
      <c r="EU40" s="302"/>
      <c r="EV40" s="302"/>
      <c r="EW40" s="302"/>
      <c r="EX40" s="302"/>
      <c r="EY40" s="302"/>
      <c r="EZ40" s="302"/>
      <c r="FA40" s="302"/>
      <c r="FB40" s="302"/>
      <c r="FC40" s="302"/>
      <c r="FD40" s="302"/>
      <c r="FE40" s="302"/>
      <c r="FF40" s="302"/>
      <c r="FG40" s="302"/>
      <c r="FH40" s="302"/>
      <c r="FI40" s="302"/>
      <c r="FJ40" s="302"/>
      <c r="FK40" s="302"/>
      <c r="FL40" s="302"/>
      <c r="FM40" s="302"/>
      <c r="FN40" s="302"/>
      <c r="FO40" s="302"/>
      <c r="FP40" s="302"/>
      <c r="FQ40" s="302"/>
      <c r="FR40" s="302"/>
      <c r="FS40" s="302"/>
      <c r="FT40" s="302"/>
      <c r="FU40" s="302"/>
      <c r="FV40" s="302"/>
      <c r="FW40" s="302"/>
      <c r="FX40" s="302"/>
      <c r="FY40" s="302"/>
      <c r="FZ40" s="302"/>
      <c r="GA40" s="302"/>
      <c r="GB40" s="302"/>
      <c r="GC40" s="37" t="e">
        <f ca="1">IF(GC26 &lt; GD26, GC26, IF(GD26 = "", GC26, GD26))</f>
        <v>#N/A</v>
      </c>
      <c r="GE40" s="37" t="s">
        <v>358</v>
      </c>
    </row>
    <row r="41" spans="7:187" ht="18.75" x14ac:dyDescent="0.25">
      <c r="I41" s="215" t="s">
        <v>43</v>
      </c>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36" t="str">
        <f ca="1">IF(OR($AV$26 + $AV$36 = 0, AND($CG$3 &amp; "" &gt; "", AND($CG$26 + $CG$36 = 0, OFFSET(Status!L2, MATCH($CG$6 &amp; "", Status!$G$3:$G$18, 0), 0) &lt;&gt; "No"))), "Incomplete",                   SUM($DR$26 + $DR$36 ))</f>
        <v>Incomplete</v>
      </c>
      <c r="DS41" s="236"/>
      <c r="DT41" s="236"/>
      <c r="DU41" s="236"/>
      <c r="DV41" s="236"/>
      <c r="DW41" s="236"/>
      <c r="DX41" s="236"/>
      <c r="DY41" s="236"/>
      <c r="DZ41" s="236"/>
      <c r="EA41" s="236"/>
      <c r="EB41" s="236"/>
      <c r="EC41" s="236"/>
      <c r="ED41" s="236"/>
      <c r="EE41" s="236"/>
      <c r="EF41" s="236"/>
      <c r="EG41" s="236"/>
      <c r="EH41" s="301"/>
      <c r="EI41" s="302"/>
      <c r="EJ41" s="302"/>
      <c r="EK41" s="302"/>
      <c r="EL41" s="302"/>
      <c r="EM41" s="302"/>
      <c r="EN41" s="302"/>
      <c r="EO41" s="302"/>
      <c r="EP41" s="302"/>
      <c r="EQ41" s="302"/>
      <c r="ER41" s="302"/>
      <c r="ES41" s="302"/>
      <c r="ET41" s="302"/>
      <c r="EU41" s="302"/>
      <c r="EV41" s="302"/>
      <c r="EW41" s="302"/>
      <c r="EX41" s="302"/>
      <c r="EY41" s="302"/>
      <c r="EZ41" s="302"/>
      <c r="FA41" s="302"/>
      <c r="FB41" s="302"/>
      <c r="FC41" s="302"/>
      <c r="FD41" s="302"/>
      <c r="FE41" s="302"/>
      <c r="FF41" s="302"/>
      <c r="FG41" s="302"/>
      <c r="FH41" s="302"/>
      <c r="FI41" s="302"/>
      <c r="FJ41" s="302"/>
      <c r="FK41" s="302"/>
      <c r="FL41" s="302"/>
      <c r="FM41" s="302"/>
      <c r="FN41" s="302"/>
      <c r="FO41" s="302"/>
      <c r="FP41" s="302"/>
      <c r="FQ41" s="302"/>
      <c r="FR41" s="302"/>
      <c r="FS41" s="302"/>
      <c r="FT41" s="302"/>
      <c r="FU41" s="302"/>
      <c r="FV41" s="302"/>
      <c r="FW41" s="302"/>
      <c r="FX41" s="302"/>
      <c r="FY41" s="302"/>
      <c r="FZ41" s="302"/>
      <c r="GA41" s="302"/>
      <c r="GB41" s="302"/>
    </row>
    <row r="42" spans="7:187" ht="18.75" x14ac:dyDescent="0.25">
      <c r="I42" s="257" t="s">
        <v>44</v>
      </c>
      <c r="J42" s="258"/>
      <c r="K42" s="258"/>
      <c r="L42" s="258"/>
      <c r="M42" s="258"/>
      <c r="N42" s="258"/>
      <c r="O42" s="258"/>
      <c r="P42" s="258"/>
      <c r="Q42" s="258"/>
      <c r="R42" s="258"/>
      <c r="S42" s="258"/>
      <c r="T42" s="258"/>
      <c r="U42" s="258"/>
      <c r="V42" s="258"/>
      <c r="W42" s="258"/>
      <c r="X42" s="258"/>
      <c r="Y42" s="258"/>
      <c r="Z42" s="258"/>
      <c r="AA42" s="258"/>
      <c r="AB42" s="258"/>
      <c r="AC42" s="258"/>
      <c r="AD42" s="258"/>
      <c r="AE42" s="261" t="str">
        <f>IF(SUM(DC46:DM50) = 0, "", IF(SUM(EH46:EH50) * 4 &gt;= TFI, Lists!AR2, ""))</f>
        <v/>
      </c>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261"/>
      <c r="CE42" s="261"/>
      <c r="CF42" s="261"/>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61"/>
      <c r="DC42" s="261"/>
      <c r="DD42" s="261"/>
      <c r="DE42" s="261"/>
      <c r="DF42" s="261"/>
      <c r="DG42" s="261"/>
      <c r="DH42" s="261"/>
      <c r="DI42" s="261"/>
      <c r="DJ42" s="261"/>
      <c r="DK42" s="261"/>
      <c r="DL42" s="261"/>
      <c r="DM42" s="261"/>
      <c r="DN42" s="261"/>
      <c r="DO42" s="261"/>
      <c r="DP42" s="261"/>
      <c r="DQ42" s="262"/>
      <c r="DR42" s="229" t="str">
        <f ca="1">SUBSTITUTE(IF(Patron_Type = "Space Available", CONSA, IF(IFERROR(OFFSET(Status!$S$2, MATCH($AV$6, Status!D3:D18, 0), 0), "") = CONSA, CONSA,
(IF(SUMIFS(TFI_Lookup[CAT], TFI_Lookup[Start], "&lt;=" &amp; IF(Date_Override + 0 &gt; 0, Date_Override, TODAY()), TFI_Lookup[End], "&gt;=" &amp; IF(Date_Override + 0 &gt; 0, Date_Override, TODAY()), TFI_Lookup[Low], "&lt;=" &amp; TFI, TFI_Lookup[High], "&gt;=" &amp; TFI) = 0,
     IF(TFI = 0,
          "n/a",
          "Error"),
     "CAT" &amp; SUMIFS(TFI_Lookup[CAT], TFI_Lookup[Start], "&lt;=" &amp; IF(Date_Override + 0 &gt; 0, Date_Override, TODAY()), TFI_Lookup[End], "&gt;=" &amp; IF(Date_Override + 0 &gt; 0, Date_Override, TODAY()), TFI_Lookup[Low], "&lt;=" &amp; TFI, TFI_Lookup[High], "&gt;=" &amp; TFI))))), "CATSA", CONSA)</f>
        <v>CONSA</v>
      </c>
      <c r="DS42" s="229"/>
      <c r="DT42" s="229"/>
      <c r="DU42" s="229"/>
      <c r="DV42" s="229"/>
      <c r="DW42" s="229"/>
      <c r="DX42" s="229"/>
      <c r="DY42" s="229"/>
      <c r="DZ42" s="229"/>
      <c r="EA42" s="229"/>
      <c r="EB42" s="229"/>
      <c r="EC42" s="229"/>
      <c r="ED42" s="229"/>
      <c r="EE42" s="229"/>
      <c r="EF42" s="229"/>
      <c r="EG42" s="229"/>
      <c r="EH42" s="299" t="s">
        <v>406</v>
      </c>
      <c r="EI42" s="300"/>
      <c r="EJ42" s="300"/>
      <c r="EK42" s="300"/>
      <c r="EL42" s="300"/>
      <c r="EM42" s="300"/>
      <c r="EN42" s="300"/>
      <c r="EO42" s="300"/>
      <c r="EP42" s="300"/>
      <c r="EQ42" s="300"/>
      <c r="ER42" s="300"/>
      <c r="ES42" s="300"/>
      <c r="ET42" s="300"/>
      <c r="EU42" s="300"/>
      <c r="EV42" s="300"/>
      <c r="EW42" s="300"/>
      <c r="EX42" s="300"/>
      <c r="EY42" s="300"/>
      <c r="EZ42" s="300"/>
      <c r="FA42" s="300"/>
      <c r="FB42" s="300"/>
      <c r="FC42" s="300"/>
      <c r="FD42" s="300"/>
      <c r="FE42" s="300"/>
      <c r="FF42" s="300"/>
      <c r="FG42" s="300"/>
      <c r="FH42" s="300"/>
      <c r="FI42" s="300"/>
      <c r="FJ42" s="300"/>
      <c r="FK42" s="300"/>
      <c r="FL42" s="300"/>
      <c r="FM42" s="300"/>
      <c r="FN42" s="300"/>
      <c r="FO42" s="300"/>
      <c r="FP42" s="300"/>
      <c r="FQ42" s="300"/>
      <c r="FR42" s="300"/>
      <c r="FS42" s="300"/>
      <c r="FT42" s="300"/>
    </row>
    <row r="43" spans="7:187" ht="18.75" x14ac:dyDescent="0.25">
      <c r="I43" s="223" t="s">
        <v>131</v>
      </c>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3"/>
      <c r="BR43" s="223"/>
      <c r="BS43" s="223"/>
      <c r="BT43" s="223"/>
      <c r="BU43" s="223"/>
      <c r="BV43" s="223"/>
      <c r="BW43" s="223"/>
      <c r="BX43" s="223"/>
      <c r="BY43" s="223"/>
      <c r="BZ43" s="223"/>
      <c r="CA43" s="223"/>
      <c r="CB43" s="223"/>
      <c r="CC43" s="223"/>
      <c r="CD43" s="223"/>
      <c r="CE43" s="223"/>
      <c r="CF43" s="223"/>
      <c r="CG43" s="223"/>
      <c r="CH43" s="223"/>
      <c r="CI43" s="223"/>
      <c r="CJ43" s="223"/>
      <c r="CK43" s="223"/>
      <c r="CL43" s="223"/>
      <c r="CM43" s="223"/>
      <c r="CN43" s="223"/>
      <c r="CO43" s="223"/>
      <c r="CP43" s="223"/>
      <c r="CQ43" s="223"/>
      <c r="CR43" s="223"/>
      <c r="CS43" s="223"/>
      <c r="CT43" s="223"/>
      <c r="CU43" s="223"/>
      <c r="CV43" s="223"/>
      <c r="CW43" s="223"/>
      <c r="CX43" s="223"/>
      <c r="CY43" s="223"/>
      <c r="CZ43" s="223"/>
      <c r="DA43" s="223"/>
      <c r="DB43" s="223"/>
      <c r="DC43" s="223"/>
      <c r="DD43" s="223"/>
      <c r="DE43" s="223"/>
      <c r="DF43" s="223"/>
      <c r="DG43" s="223"/>
      <c r="DH43" s="223"/>
      <c r="DI43" s="223"/>
      <c r="DJ43" s="223"/>
      <c r="DK43" s="223"/>
      <c r="DL43" s="223"/>
      <c r="DM43" s="223"/>
      <c r="DN43" s="223"/>
      <c r="DO43" s="223"/>
      <c r="DP43" s="223"/>
      <c r="DQ43" s="223"/>
      <c r="DR43" s="223"/>
      <c r="DS43" s="223"/>
      <c r="DT43" s="223"/>
      <c r="DU43" s="223"/>
      <c r="DV43" s="223"/>
      <c r="DW43" s="223"/>
      <c r="DX43" s="223"/>
      <c r="DY43" s="223"/>
      <c r="DZ43" s="223"/>
      <c r="EA43" s="223"/>
      <c r="EB43" s="223"/>
      <c r="EC43" s="223"/>
      <c r="ED43" s="223"/>
      <c r="EE43" s="223"/>
      <c r="EF43" s="223"/>
      <c r="EG43" s="223"/>
      <c r="EH43" s="299"/>
      <c r="EI43" s="300"/>
      <c r="EJ43" s="300"/>
      <c r="EK43" s="300"/>
      <c r="EL43" s="300"/>
      <c r="EM43" s="300"/>
      <c r="EN43" s="300"/>
      <c r="EO43" s="300"/>
      <c r="EP43" s="300"/>
      <c r="EQ43" s="300"/>
      <c r="ER43" s="300"/>
      <c r="ES43" s="300"/>
      <c r="ET43" s="300"/>
      <c r="EU43" s="300"/>
      <c r="EV43" s="300"/>
      <c r="EW43" s="300"/>
      <c r="EX43" s="300"/>
      <c r="EY43" s="300"/>
      <c r="EZ43" s="300"/>
      <c r="FA43" s="300"/>
      <c r="FB43" s="300"/>
      <c r="FC43" s="300"/>
      <c r="FD43" s="300"/>
      <c r="FE43" s="300"/>
      <c r="FF43" s="300"/>
      <c r="FG43" s="300"/>
      <c r="FH43" s="300"/>
      <c r="FI43" s="300"/>
      <c r="FJ43" s="300"/>
      <c r="FK43" s="300"/>
      <c r="FL43" s="300"/>
      <c r="FM43" s="300"/>
      <c r="FN43" s="300"/>
      <c r="FO43" s="300"/>
      <c r="FP43" s="300"/>
      <c r="FQ43" s="300"/>
      <c r="FR43" s="300"/>
      <c r="FS43" s="300"/>
      <c r="FT43" s="300"/>
    </row>
    <row r="44" spans="7:187" s="6" customFormat="1" ht="15" customHeight="1" x14ac:dyDescent="0.2">
      <c r="G44" s="15"/>
      <c r="H44" s="15"/>
      <c r="I44" s="273"/>
      <c r="J44" s="274"/>
      <c r="K44" s="231" t="s">
        <v>115</v>
      </c>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2"/>
      <c r="AV44" s="230" t="s">
        <v>39</v>
      </c>
      <c r="AW44" s="231"/>
      <c r="AX44" s="231"/>
      <c r="AY44" s="231"/>
      <c r="AZ44" s="231"/>
      <c r="BA44" s="231"/>
      <c r="BB44" s="231"/>
      <c r="BC44" s="231"/>
      <c r="BD44" s="231"/>
      <c r="BE44" s="231"/>
      <c r="BF44" s="231"/>
      <c r="BG44" s="231"/>
      <c r="BH44" s="232"/>
      <c r="BI44" s="230" t="s">
        <v>0</v>
      </c>
      <c r="BJ44" s="231"/>
      <c r="BK44" s="231"/>
      <c r="BL44" s="231"/>
      <c r="BM44" s="231"/>
      <c r="BN44" s="231"/>
      <c r="BO44" s="231"/>
      <c r="BP44" s="231"/>
      <c r="BQ44" s="232"/>
      <c r="BR44" s="230" t="s">
        <v>36</v>
      </c>
      <c r="BS44" s="231"/>
      <c r="BT44" s="231"/>
      <c r="BU44" s="231"/>
      <c r="BV44" s="231"/>
      <c r="BW44" s="231"/>
      <c r="BX44" s="231"/>
      <c r="BY44" s="231"/>
      <c r="BZ44" s="231"/>
      <c r="CA44" s="231"/>
      <c r="CB44" s="231"/>
      <c r="CC44" s="231"/>
      <c r="CD44" s="231"/>
      <c r="CE44" s="231"/>
      <c r="CF44" s="231"/>
      <c r="CG44" s="231"/>
      <c r="CH44" s="231"/>
      <c r="CI44" s="231"/>
      <c r="CJ44" s="231"/>
      <c r="CK44" s="231"/>
      <c r="CL44" s="231"/>
      <c r="CM44" s="231"/>
      <c r="CN44" s="231"/>
      <c r="CO44" s="231"/>
      <c r="CP44" s="231"/>
      <c r="CQ44" s="231"/>
      <c r="CR44" s="230" t="s">
        <v>40</v>
      </c>
      <c r="CS44" s="231"/>
      <c r="CT44" s="231"/>
      <c r="CU44" s="231"/>
      <c r="CV44" s="231"/>
      <c r="CW44" s="231"/>
      <c r="CX44" s="231"/>
      <c r="CY44" s="231"/>
      <c r="CZ44" s="231"/>
      <c r="DA44" s="231"/>
      <c r="DB44" s="232"/>
      <c r="DC44" s="275" t="s">
        <v>550</v>
      </c>
      <c r="DD44" s="276"/>
      <c r="DE44" s="276"/>
      <c r="DF44" s="276"/>
      <c r="DG44" s="276"/>
      <c r="DH44" s="276"/>
      <c r="DI44" s="276"/>
      <c r="DJ44" s="276"/>
      <c r="DK44" s="276"/>
      <c r="DL44" s="276"/>
      <c r="DM44" s="277"/>
      <c r="DN44" s="242" t="s">
        <v>140</v>
      </c>
      <c r="DO44" s="243"/>
      <c r="DP44" s="243"/>
      <c r="DQ44" s="244"/>
      <c r="DR44" s="230" t="s">
        <v>7</v>
      </c>
      <c r="DS44" s="231"/>
      <c r="DT44" s="231"/>
      <c r="DU44" s="231"/>
      <c r="DV44" s="231"/>
      <c r="DW44" s="231"/>
      <c r="DX44" s="231"/>
      <c r="DY44" s="231"/>
      <c r="DZ44" s="231"/>
      <c r="EA44" s="231"/>
      <c r="EB44" s="231"/>
      <c r="EC44" s="231"/>
      <c r="ED44" s="231"/>
      <c r="EE44" s="231"/>
      <c r="EF44" s="231"/>
      <c r="EG44" s="232"/>
    </row>
    <row r="45" spans="7:187" s="6" customFormat="1" ht="12.75" customHeight="1" x14ac:dyDescent="0.2">
      <c r="G45" s="15"/>
      <c r="H45" s="15"/>
      <c r="I45" s="251"/>
      <c r="J45" s="252"/>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5"/>
      <c r="AV45" s="233"/>
      <c r="AW45" s="234"/>
      <c r="AX45" s="234"/>
      <c r="AY45" s="234"/>
      <c r="AZ45" s="234"/>
      <c r="BA45" s="234"/>
      <c r="BB45" s="234"/>
      <c r="BC45" s="234"/>
      <c r="BD45" s="234"/>
      <c r="BE45" s="234"/>
      <c r="BF45" s="234"/>
      <c r="BG45" s="234"/>
      <c r="BH45" s="235"/>
      <c r="BI45" s="233"/>
      <c r="BJ45" s="234"/>
      <c r="BK45" s="234"/>
      <c r="BL45" s="234"/>
      <c r="BM45" s="234"/>
      <c r="BN45" s="234"/>
      <c r="BO45" s="234"/>
      <c r="BP45" s="234"/>
      <c r="BQ45" s="235"/>
      <c r="BR45" s="233"/>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3"/>
      <c r="CS45" s="234"/>
      <c r="CT45" s="234"/>
      <c r="CU45" s="234"/>
      <c r="CV45" s="234"/>
      <c r="CW45" s="234"/>
      <c r="CX45" s="234"/>
      <c r="CY45" s="234"/>
      <c r="CZ45" s="234"/>
      <c r="DA45" s="234"/>
      <c r="DB45" s="235"/>
      <c r="DC45" s="278"/>
      <c r="DD45" s="279"/>
      <c r="DE45" s="279"/>
      <c r="DF45" s="279"/>
      <c r="DG45" s="279"/>
      <c r="DH45" s="279"/>
      <c r="DI45" s="279"/>
      <c r="DJ45" s="279"/>
      <c r="DK45" s="279"/>
      <c r="DL45" s="279"/>
      <c r="DM45" s="280"/>
      <c r="DN45" s="245"/>
      <c r="DO45" s="246"/>
      <c r="DP45" s="246"/>
      <c r="DQ45" s="247"/>
      <c r="DR45" s="233"/>
      <c r="DS45" s="234"/>
      <c r="DT45" s="234"/>
      <c r="DU45" s="234"/>
      <c r="DV45" s="234"/>
      <c r="DW45" s="234"/>
      <c r="DX45" s="234"/>
      <c r="DY45" s="234"/>
      <c r="DZ45" s="234"/>
      <c r="EA45" s="234"/>
      <c r="EB45" s="234"/>
      <c r="EC45" s="234"/>
      <c r="ED45" s="234"/>
      <c r="EE45" s="234"/>
      <c r="EF45" s="234"/>
      <c r="EG45" s="235"/>
    </row>
    <row r="46" spans="7:187" s="37" customFormat="1" ht="12.75" customHeight="1" x14ac:dyDescent="0.2">
      <c r="I46" s="221" t="s">
        <v>26</v>
      </c>
      <c r="J46" s="221"/>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250"/>
      <c r="AW46" s="250"/>
      <c r="AX46" s="250"/>
      <c r="AY46" s="250"/>
      <c r="AZ46" s="250"/>
      <c r="BA46" s="250"/>
      <c r="BB46" s="250"/>
      <c r="BC46" s="250"/>
      <c r="BD46" s="250"/>
      <c r="BE46" s="250"/>
      <c r="BF46" s="250"/>
      <c r="BG46" s="250"/>
      <c r="BH46" s="250"/>
      <c r="BI46" s="270" t="str">
        <f ca="1">IFERROR(IF(ISBLANK(AV46),"",IF(DATEDIF(AV46,IF(Date_Override+0&gt;0,Date_Override,TODAY()),"Y") &gt; 50, "DELETE!", IF(INT(DATEDIF(AV46,IF(Date_Override+0&gt;0,Date_Override,TODAY()),"Y")) = 0,INT(DATEDIF(AV46,IF(Date_Override+0&gt;0,Date_Override,TODAY()),"M")) &amp; " mos",INT(DATEDIF(AV46,IF(Date_Override+0&gt;0,Date_Override,TODAY()),"Y"))))),"ERROR!")</f>
        <v/>
      </c>
      <c r="BJ46" s="271"/>
      <c r="BK46" s="271"/>
      <c r="BL46" s="271"/>
      <c r="BM46" s="271"/>
      <c r="BN46" s="271"/>
      <c r="BO46" s="271"/>
      <c r="BP46" s="271"/>
      <c r="BQ46" s="272"/>
      <c r="BR46" s="253"/>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60"/>
      <c r="CS46" s="260"/>
      <c r="CT46" s="260"/>
      <c r="CU46" s="260"/>
      <c r="CV46" s="260"/>
      <c r="CW46" s="260"/>
      <c r="CX46" s="260"/>
      <c r="CY46" s="260"/>
      <c r="CZ46" s="260"/>
      <c r="DA46" s="260"/>
      <c r="DB46" s="260"/>
      <c r="DC46" s="259"/>
      <c r="DD46" s="259"/>
      <c r="DE46" s="259"/>
      <c r="DF46" s="259"/>
      <c r="DG46" s="259"/>
      <c r="DH46" s="259"/>
      <c r="DI46" s="259"/>
      <c r="DJ46" s="259"/>
      <c r="DK46" s="259"/>
      <c r="DL46" s="259"/>
      <c r="DM46" s="259"/>
      <c r="DN46" s="241" t="str">
        <f ca="1">IFERROR(OFFSET(Lists!AF$1,MATCH(BR46,Lists!AE$2:AE$22,0),0),"") &amp; ""</f>
        <v/>
      </c>
      <c r="DO46" s="241"/>
      <c r="DP46" s="241"/>
      <c r="DQ46" s="241"/>
      <c r="DR46" s="306"/>
      <c r="DS46" s="307"/>
      <c r="DT46" s="307"/>
      <c r="DU46" s="307"/>
      <c r="DV46" s="307"/>
      <c r="DW46" s="307"/>
      <c r="DX46" s="307"/>
      <c r="DY46" s="307"/>
      <c r="DZ46" s="307"/>
      <c r="EA46" s="307"/>
      <c r="EB46" s="307"/>
      <c r="EC46" s="307"/>
      <c r="ED46" s="307"/>
      <c r="EE46" s="307"/>
      <c r="EF46" s="307"/>
      <c r="EG46" s="308"/>
      <c r="EH46" s="99">
        <f ca="1">IFERROR(IF(OFFSET(Table1[[#Headers],[Monthly/Weekly rate]], MATCH(BR46, Table1[Care Type], 0), 0) = "Wk", 52, 12) * DC46, 0)</f>
        <v>0</v>
      </c>
      <c r="EI46" s="38"/>
    </row>
    <row r="47" spans="7:187" s="37" customFormat="1" ht="12.75" customHeight="1" x14ac:dyDescent="0.2">
      <c r="I47" s="221" t="s">
        <v>1</v>
      </c>
      <c r="J47" s="221"/>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250"/>
      <c r="AW47" s="250"/>
      <c r="AX47" s="250"/>
      <c r="AY47" s="250"/>
      <c r="AZ47" s="250"/>
      <c r="BA47" s="250"/>
      <c r="BB47" s="250"/>
      <c r="BC47" s="250"/>
      <c r="BD47" s="250"/>
      <c r="BE47" s="250"/>
      <c r="BF47" s="250"/>
      <c r="BG47" s="250"/>
      <c r="BH47" s="250"/>
      <c r="BI47" s="270" t="str">
        <f ca="1">IFERROR(IF(ISBLANK(AV47),"",IF(DATEDIF(AV47,IF(Date_Override+0&gt;0,Date_Override,TODAY()),"Y") &gt; 50, "DELETE!", IF(INT(DATEDIF(AV47,IF(Date_Override+0&gt;0,Date_Override,TODAY()),"Y")) = 0,INT(DATEDIF(AV47,IF(Date_Override+0&gt;0,Date_Override,TODAY()),"M")) &amp; " mos",INT(DATEDIF(AV47,IF(Date_Override+0&gt;0,Date_Override,TODAY()),"Y"))))),"ERROR!")</f>
        <v/>
      </c>
      <c r="BJ47" s="271"/>
      <c r="BK47" s="271"/>
      <c r="BL47" s="271"/>
      <c r="BM47" s="271"/>
      <c r="BN47" s="271"/>
      <c r="BO47" s="271"/>
      <c r="BP47" s="271"/>
      <c r="BQ47" s="272"/>
      <c r="BR47" s="253"/>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5"/>
      <c r="CR47" s="253"/>
      <c r="CS47" s="254"/>
      <c r="CT47" s="254"/>
      <c r="CU47" s="254"/>
      <c r="CV47" s="254"/>
      <c r="CW47" s="254"/>
      <c r="CX47" s="254"/>
      <c r="CY47" s="254"/>
      <c r="CZ47" s="254"/>
      <c r="DA47" s="254"/>
      <c r="DB47" s="255"/>
      <c r="DC47" s="259"/>
      <c r="DD47" s="259"/>
      <c r="DE47" s="259"/>
      <c r="DF47" s="259"/>
      <c r="DG47" s="259"/>
      <c r="DH47" s="259"/>
      <c r="DI47" s="259"/>
      <c r="DJ47" s="259"/>
      <c r="DK47" s="259"/>
      <c r="DL47" s="259"/>
      <c r="DM47" s="259"/>
      <c r="DN47" s="241" t="str">
        <f ca="1">IFERROR(OFFSET(Lists!AF$1,MATCH(BR47,Lists!AE$2:AE$22,0),0),"") &amp; ""</f>
        <v/>
      </c>
      <c r="DO47" s="241"/>
      <c r="DP47" s="241"/>
      <c r="DQ47" s="241"/>
      <c r="DR47" s="309"/>
      <c r="DS47" s="310"/>
      <c r="DT47" s="310"/>
      <c r="DU47" s="310"/>
      <c r="DV47" s="310"/>
      <c r="DW47" s="310"/>
      <c r="DX47" s="310"/>
      <c r="DY47" s="310"/>
      <c r="DZ47" s="310"/>
      <c r="EA47" s="310"/>
      <c r="EB47" s="310"/>
      <c r="EC47" s="310"/>
      <c r="ED47" s="310"/>
      <c r="EE47" s="310"/>
      <c r="EF47" s="310"/>
      <c r="EG47" s="311"/>
      <c r="EH47" s="99">
        <f ca="1">IFERROR(IF(OFFSET(Table1[[#Headers],[Monthly/Weekly rate]], MATCH(BR47, Table1[Care Type], 0), 0) = "Wk", 52, 12) * DC47, 0)</f>
        <v>0</v>
      </c>
      <c r="EI47" s="98"/>
    </row>
    <row r="48" spans="7:187" s="37" customFormat="1" ht="12.75" customHeight="1" x14ac:dyDescent="0.2">
      <c r="I48" s="221" t="s">
        <v>2</v>
      </c>
      <c r="J48" s="221"/>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250"/>
      <c r="AW48" s="250"/>
      <c r="AX48" s="250"/>
      <c r="AY48" s="250"/>
      <c r="AZ48" s="250"/>
      <c r="BA48" s="250"/>
      <c r="BB48" s="250"/>
      <c r="BC48" s="250"/>
      <c r="BD48" s="250"/>
      <c r="BE48" s="250"/>
      <c r="BF48" s="250"/>
      <c r="BG48" s="250"/>
      <c r="BH48" s="250"/>
      <c r="BI48" s="270" t="str">
        <f ca="1">IFERROR(IF(ISBLANK(AV48),"",IF(DATEDIF(AV48,IF(Date_Override+0&gt;0,Date_Override,TODAY()),"Y") &gt; 50, "DELETE!", IF(INT(DATEDIF(AV48,IF(Date_Override+0&gt;0,Date_Override,TODAY()),"Y")) = 0,INT(DATEDIF(AV48,IF(Date_Override+0&gt;0,Date_Override,TODAY()),"M")) &amp; " mos",INT(DATEDIF(AV48,IF(Date_Override+0&gt;0,Date_Override,TODAY()),"Y"))))),"ERROR!")</f>
        <v/>
      </c>
      <c r="BJ48" s="271"/>
      <c r="BK48" s="271"/>
      <c r="BL48" s="271"/>
      <c r="BM48" s="271"/>
      <c r="BN48" s="271"/>
      <c r="BO48" s="271"/>
      <c r="BP48" s="271"/>
      <c r="BQ48" s="272"/>
      <c r="BR48" s="253"/>
      <c r="BS48" s="254"/>
      <c r="BT48" s="254"/>
      <c r="BU48" s="254"/>
      <c r="BV48" s="254"/>
      <c r="BW48" s="254"/>
      <c r="BX48" s="254"/>
      <c r="BY48" s="254"/>
      <c r="BZ48" s="254"/>
      <c r="CA48" s="254"/>
      <c r="CB48" s="254"/>
      <c r="CC48" s="254"/>
      <c r="CD48" s="254"/>
      <c r="CE48" s="254"/>
      <c r="CF48" s="254"/>
      <c r="CG48" s="254"/>
      <c r="CH48" s="254"/>
      <c r="CI48" s="254"/>
      <c r="CJ48" s="254"/>
      <c r="CK48" s="254"/>
      <c r="CL48" s="254"/>
      <c r="CM48" s="254"/>
      <c r="CN48" s="254"/>
      <c r="CO48" s="254"/>
      <c r="CP48" s="254"/>
      <c r="CQ48" s="255"/>
      <c r="CR48" s="253"/>
      <c r="CS48" s="254"/>
      <c r="CT48" s="254"/>
      <c r="CU48" s="254"/>
      <c r="CV48" s="254"/>
      <c r="CW48" s="254"/>
      <c r="CX48" s="254"/>
      <c r="CY48" s="254"/>
      <c r="CZ48" s="254"/>
      <c r="DA48" s="254"/>
      <c r="DB48" s="255"/>
      <c r="DC48" s="259"/>
      <c r="DD48" s="259"/>
      <c r="DE48" s="259"/>
      <c r="DF48" s="259"/>
      <c r="DG48" s="259"/>
      <c r="DH48" s="259"/>
      <c r="DI48" s="259"/>
      <c r="DJ48" s="259"/>
      <c r="DK48" s="259"/>
      <c r="DL48" s="259"/>
      <c r="DM48" s="259"/>
      <c r="DN48" s="241" t="str">
        <f ca="1">IFERROR(OFFSET(Lists!AF$1,MATCH(BR48,Lists!AE$2:AE$22,0),0),"") &amp; ""</f>
        <v/>
      </c>
      <c r="DO48" s="241"/>
      <c r="DP48" s="241"/>
      <c r="DQ48" s="241"/>
      <c r="DR48" s="309"/>
      <c r="DS48" s="310"/>
      <c r="DT48" s="310"/>
      <c r="DU48" s="310"/>
      <c r="DV48" s="310"/>
      <c r="DW48" s="310"/>
      <c r="DX48" s="310"/>
      <c r="DY48" s="310"/>
      <c r="DZ48" s="310"/>
      <c r="EA48" s="310"/>
      <c r="EB48" s="310"/>
      <c r="EC48" s="310"/>
      <c r="ED48" s="310"/>
      <c r="EE48" s="310"/>
      <c r="EF48" s="310"/>
      <c r="EG48" s="311"/>
      <c r="EH48" s="99">
        <f ca="1">IFERROR(IF(OFFSET(Table1[[#Headers],[Monthly/Weekly rate]], MATCH(BR48, Table1[Care Type], 0), 0) = "Wk", 52, 12) * DC48, 0)</f>
        <v>0</v>
      </c>
    </row>
    <row r="49" spans="9:145" s="37" customFormat="1" ht="12.75" customHeight="1" x14ac:dyDescent="0.2">
      <c r="I49" s="221" t="s">
        <v>3</v>
      </c>
      <c r="J49" s="221"/>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250"/>
      <c r="AW49" s="250"/>
      <c r="AX49" s="250"/>
      <c r="AY49" s="250"/>
      <c r="AZ49" s="250"/>
      <c r="BA49" s="250"/>
      <c r="BB49" s="250"/>
      <c r="BC49" s="250"/>
      <c r="BD49" s="250"/>
      <c r="BE49" s="250"/>
      <c r="BF49" s="250"/>
      <c r="BG49" s="250"/>
      <c r="BH49" s="250"/>
      <c r="BI49" s="270" t="str">
        <f ca="1">IFERROR(IF(ISBLANK(AV49),"",IF(DATEDIF(AV49,IF(Date_Override+0&gt;0,Date_Override,TODAY()),"Y") &gt; 50, "DELETE!", IF(INT(DATEDIF(AV49,IF(Date_Override+0&gt;0,Date_Override,TODAY()),"Y")) = 0,INT(DATEDIF(AV49,IF(Date_Override+0&gt;0,Date_Override,TODAY()),"M")) &amp; " mos",INT(DATEDIF(AV49,IF(Date_Override+0&gt;0,Date_Override,TODAY()),"Y"))))),"ERROR!")</f>
        <v/>
      </c>
      <c r="BJ49" s="271"/>
      <c r="BK49" s="271"/>
      <c r="BL49" s="271"/>
      <c r="BM49" s="271"/>
      <c r="BN49" s="271"/>
      <c r="BO49" s="271"/>
      <c r="BP49" s="271"/>
      <c r="BQ49" s="272"/>
      <c r="BR49" s="253"/>
      <c r="BS49" s="254"/>
      <c r="BT49" s="254"/>
      <c r="BU49" s="254"/>
      <c r="BV49" s="254"/>
      <c r="BW49" s="254"/>
      <c r="BX49" s="254"/>
      <c r="BY49" s="254"/>
      <c r="BZ49" s="254"/>
      <c r="CA49" s="254"/>
      <c r="CB49" s="254"/>
      <c r="CC49" s="254"/>
      <c r="CD49" s="254"/>
      <c r="CE49" s="254"/>
      <c r="CF49" s="254"/>
      <c r="CG49" s="254"/>
      <c r="CH49" s="254"/>
      <c r="CI49" s="254"/>
      <c r="CJ49" s="254"/>
      <c r="CK49" s="254"/>
      <c r="CL49" s="254"/>
      <c r="CM49" s="254"/>
      <c r="CN49" s="254"/>
      <c r="CO49" s="254"/>
      <c r="CP49" s="254"/>
      <c r="CQ49" s="255"/>
      <c r="CR49" s="253"/>
      <c r="CS49" s="254"/>
      <c r="CT49" s="254"/>
      <c r="CU49" s="254"/>
      <c r="CV49" s="254"/>
      <c r="CW49" s="254"/>
      <c r="CX49" s="254"/>
      <c r="CY49" s="254"/>
      <c r="CZ49" s="254"/>
      <c r="DA49" s="254"/>
      <c r="DB49" s="255"/>
      <c r="DC49" s="259"/>
      <c r="DD49" s="259"/>
      <c r="DE49" s="259"/>
      <c r="DF49" s="259"/>
      <c r="DG49" s="259"/>
      <c r="DH49" s="259"/>
      <c r="DI49" s="259"/>
      <c r="DJ49" s="259"/>
      <c r="DK49" s="259"/>
      <c r="DL49" s="259"/>
      <c r="DM49" s="259"/>
      <c r="DN49" s="241" t="str">
        <f ca="1">IFERROR(OFFSET(Lists!AF$1,MATCH(BR49,Lists!AE$2:AE$22,0),0),"") &amp; ""</f>
        <v/>
      </c>
      <c r="DO49" s="241"/>
      <c r="DP49" s="241"/>
      <c r="DQ49" s="241"/>
      <c r="DR49" s="309"/>
      <c r="DS49" s="310"/>
      <c r="DT49" s="310"/>
      <c r="DU49" s="310"/>
      <c r="DV49" s="310"/>
      <c r="DW49" s="310"/>
      <c r="DX49" s="310"/>
      <c r="DY49" s="310"/>
      <c r="DZ49" s="310"/>
      <c r="EA49" s="310"/>
      <c r="EB49" s="310"/>
      <c r="EC49" s="310"/>
      <c r="ED49" s="310"/>
      <c r="EE49" s="310"/>
      <c r="EF49" s="310"/>
      <c r="EG49" s="311"/>
      <c r="EH49" s="99">
        <f ca="1">IFERROR(IF(OFFSET(Table1[[#Headers],[Monthly/Weekly rate]], MATCH(BR49, Table1[Care Type], 0), 0) = "Wk", 52, 12) * DC49, 0)</f>
        <v>0</v>
      </c>
    </row>
    <row r="50" spans="9:145" s="37" customFormat="1" ht="12.75" customHeight="1" x14ac:dyDescent="0.2">
      <c r="I50" s="221" t="s">
        <v>28</v>
      </c>
      <c r="J50" s="221"/>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250"/>
      <c r="AW50" s="250"/>
      <c r="AX50" s="250"/>
      <c r="AY50" s="250"/>
      <c r="AZ50" s="250"/>
      <c r="BA50" s="250"/>
      <c r="BB50" s="250"/>
      <c r="BC50" s="250"/>
      <c r="BD50" s="250"/>
      <c r="BE50" s="250"/>
      <c r="BF50" s="250"/>
      <c r="BG50" s="250"/>
      <c r="BH50" s="250"/>
      <c r="BI50" s="270" t="str">
        <f ca="1">IFERROR(IF(ISBLANK(AV50),"",IF(DATEDIF(AV50,IF(Date_Override+0&gt;0,Date_Override,TODAY()),"Y") &gt; 50, "DELETE!", IF(INT(DATEDIF(AV50,IF(Date_Override+0&gt;0,Date_Override,TODAY()),"Y")) = 0,INT(DATEDIF(AV50,IF(Date_Override+0&gt;0,Date_Override,TODAY()),"M")) &amp; " mos",INT(DATEDIF(AV50,IF(Date_Override+0&gt;0,Date_Override,TODAY()),"Y"))))),"ERROR!")</f>
        <v/>
      </c>
      <c r="BJ50" s="271"/>
      <c r="BK50" s="271"/>
      <c r="BL50" s="271"/>
      <c r="BM50" s="271"/>
      <c r="BN50" s="271"/>
      <c r="BO50" s="271"/>
      <c r="BP50" s="271"/>
      <c r="BQ50" s="272"/>
      <c r="BR50" s="253"/>
      <c r="BS50" s="254"/>
      <c r="BT50" s="254"/>
      <c r="BU50" s="254"/>
      <c r="BV50" s="254"/>
      <c r="BW50" s="254"/>
      <c r="BX50" s="254"/>
      <c r="BY50" s="254"/>
      <c r="BZ50" s="254"/>
      <c r="CA50" s="254"/>
      <c r="CB50" s="254"/>
      <c r="CC50" s="254"/>
      <c r="CD50" s="254"/>
      <c r="CE50" s="254"/>
      <c r="CF50" s="254"/>
      <c r="CG50" s="254"/>
      <c r="CH50" s="254"/>
      <c r="CI50" s="254"/>
      <c r="CJ50" s="254"/>
      <c r="CK50" s="254"/>
      <c r="CL50" s="254"/>
      <c r="CM50" s="254"/>
      <c r="CN50" s="254"/>
      <c r="CO50" s="254"/>
      <c r="CP50" s="254"/>
      <c r="CQ50" s="255"/>
      <c r="CR50" s="253"/>
      <c r="CS50" s="254"/>
      <c r="CT50" s="254"/>
      <c r="CU50" s="254"/>
      <c r="CV50" s="254"/>
      <c r="CW50" s="254"/>
      <c r="CX50" s="254"/>
      <c r="CY50" s="254"/>
      <c r="CZ50" s="254"/>
      <c r="DA50" s="254"/>
      <c r="DB50" s="255"/>
      <c r="DC50" s="259"/>
      <c r="DD50" s="259"/>
      <c r="DE50" s="259"/>
      <c r="DF50" s="259"/>
      <c r="DG50" s="259"/>
      <c r="DH50" s="259"/>
      <c r="DI50" s="259"/>
      <c r="DJ50" s="259"/>
      <c r="DK50" s="259"/>
      <c r="DL50" s="259"/>
      <c r="DM50" s="259"/>
      <c r="DN50" s="241" t="str">
        <f ca="1">IFERROR(OFFSET(Lists!AF$1,MATCH(BR50,Lists!AE$2:AE$22,0),0),"") &amp; ""</f>
        <v/>
      </c>
      <c r="DO50" s="241"/>
      <c r="DP50" s="241"/>
      <c r="DQ50" s="241"/>
      <c r="DR50" s="312"/>
      <c r="DS50" s="313"/>
      <c r="DT50" s="313"/>
      <c r="DU50" s="313"/>
      <c r="DV50" s="313"/>
      <c r="DW50" s="313"/>
      <c r="DX50" s="313"/>
      <c r="DY50" s="313"/>
      <c r="DZ50" s="313"/>
      <c r="EA50" s="313"/>
      <c r="EB50" s="313"/>
      <c r="EC50" s="313"/>
      <c r="ED50" s="313"/>
      <c r="EE50" s="313"/>
      <c r="EF50" s="313"/>
      <c r="EG50" s="314"/>
      <c r="EH50" s="99">
        <f ca="1">IFERROR(IF(OFFSET(Table1[[#Headers],[Monthly/Weekly rate]], MATCH(BR50, Table1[Care Type], 0), 0) = "Wk", 52, 12) * DC50, 0)</f>
        <v>0</v>
      </c>
    </row>
    <row r="51" spans="9:145" s="37" customFormat="1" ht="12.75" customHeight="1" x14ac:dyDescent="0.2">
      <c r="I51" s="281" t="s">
        <v>134</v>
      </c>
      <c r="J51" s="281"/>
      <c r="K51" s="281"/>
      <c r="L51" s="281"/>
      <c r="M51" s="281"/>
      <c r="N51" s="281"/>
      <c r="O51" s="281"/>
      <c r="P51" s="281"/>
      <c r="Q51" s="281"/>
      <c r="R51" s="281"/>
      <c r="S51" s="281"/>
      <c r="T51" s="281"/>
      <c r="U51" s="281"/>
      <c r="V51" s="281"/>
      <c r="W51" s="281"/>
      <c r="X51" s="281"/>
      <c r="Y51" s="281"/>
      <c r="Z51" s="281"/>
      <c r="AA51" s="281"/>
      <c r="AB51" s="281"/>
      <c r="AC51" s="281"/>
      <c r="AD51" s="256" t="str">
        <f ca="1">IF(BL37 &amp; ""&gt;"","(" &amp; BL37 &amp; ")",IF(LEFT(Lists!AR6,9)=Lists!AR7,MID(LEFT(Lists!AR6,FIND(CHAR(1),SUBSTITUTE(Lists!AR6,"\",CHAR(1),3))-1),FIND(CHAR(1),SUBSTITUTE(Lists!AR6,"\",CHAR(1),2))+1,999),
IF(LEFT(Lists!AR8,9)=Lists!AR7,MID(LEFT(Lists!AR8,FIND(CHAR(1),SUBSTITUTE(Lists!AR8,"\",CHAR(1),3))-1),FIND(CHAR(1),SUBSTITUTE(Lists!AR8,"\",CHAR(1),2))+1,999),"")))</f>
        <v/>
      </c>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6"/>
      <c r="CL51" s="256"/>
      <c r="CM51" s="256"/>
      <c r="CN51" s="256"/>
      <c r="CO51" s="256"/>
      <c r="CP51" s="256"/>
      <c r="CQ51" s="256"/>
      <c r="CR51" s="256"/>
      <c r="CS51" s="256"/>
      <c r="CT51" s="256"/>
      <c r="CU51" s="256"/>
      <c r="CV51" s="256"/>
      <c r="CW51" s="256"/>
      <c r="CX51" s="256"/>
      <c r="CY51" s="256"/>
      <c r="CZ51" s="256"/>
      <c r="DA51" s="281" t="s">
        <v>8</v>
      </c>
      <c r="DB51" s="281"/>
      <c r="DC51" s="281"/>
      <c r="DD51" s="281"/>
      <c r="DE51" s="281"/>
      <c r="DF51" s="281"/>
      <c r="DG51" s="281"/>
      <c r="DH51" s="281"/>
      <c r="DI51" s="281"/>
      <c r="DJ51" s="281"/>
      <c r="DK51" s="281"/>
      <c r="DL51" s="281"/>
      <c r="DM51" s="281"/>
      <c r="DN51" s="281"/>
      <c r="DO51" s="281"/>
      <c r="DP51" s="281"/>
      <c r="DQ51" s="281"/>
      <c r="DR51" s="284">
        <f ca="1">IF(CG37&gt;0,"(" &amp; TEXT(CG37,"dd mmm yyyy") &amp; ")",TODAY())</f>
        <v>45280</v>
      </c>
      <c r="DS51" s="284"/>
      <c r="DT51" s="284"/>
      <c r="DU51" s="284"/>
      <c r="DV51" s="284"/>
      <c r="DW51" s="284"/>
      <c r="DX51" s="284"/>
      <c r="DY51" s="284"/>
      <c r="DZ51" s="284"/>
      <c r="EA51" s="284"/>
      <c r="EB51" s="284"/>
      <c r="EC51" s="284"/>
      <c r="ED51" s="284"/>
      <c r="EE51" s="284"/>
      <c r="EF51" s="284"/>
      <c r="EG51" s="284"/>
    </row>
    <row r="52" spans="9:145" s="37" customFormat="1" ht="12.75" x14ac:dyDescent="0.2">
      <c r="I52" s="248" t="s">
        <v>113</v>
      </c>
      <c r="J52" s="281"/>
      <c r="K52" s="281"/>
      <c r="L52" s="281"/>
      <c r="M52" s="281"/>
      <c r="N52" s="281"/>
      <c r="O52" s="281"/>
      <c r="P52" s="281"/>
      <c r="Q52" s="281"/>
      <c r="R52" s="281"/>
      <c r="S52" s="281"/>
      <c r="T52" s="281"/>
      <c r="U52" s="281"/>
      <c r="V52" s="281"/>
      <c r="W52" s="281"/>
      <c r="X52" s="281"/>
      <c r="Y52" s="281"/>
      <c r="Z52" s="281"/>
      <c r="AA52" s="281"/>
      <c r="AB52" s="281"/>
      <c r="AC52" s="281"/>
      <c r="AD52" s="263"/>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5"/>
      <c r="DA52" s="281" t="s">
        <v>8</v>
      </c>
      <c r="DB52" s="281"/>
      <c r="DC52" s="281"/>
      <c r="DD52" s="281"/>
      <c r="DE52" s="281"/>
      <c r="DF52" s="281"/>
      <c r="DG52" s="281"/>
      <c r="DH52" s="281"/>
      <c r="DI52" s="281"/>
      <c r="DJ52" s="281"/>
      <c r="DK52" s="281"/>
      <c r="DL52" s="281"/>
      <c r="DM52" s="281"/>
      <c r="DN52" s="281"/>
      <c r="DO52" s="281"/>
      <c r="DP52" s="281"/>
      <c r="DQ52" s="281"/>
      <c r="DR52" s="315" t="str">
        <f>IF(CW37&gt;0,"(" &amp; TEXT(CW37,"dd mmm yyyy") &amp; ")","")</f>
        <v/>
      </c>
      <c r="DS52" s="315"/>
      <c r="DT52" s="315"/>
      <c r="DU52" s="315"/>
      <c r="DV52" s="315"/>
      <c r="DW52" s="315"/>
      <c r="DX52" s="315"/>
      <c r="DY52" s="315"/>
      <c r="DZ52" s="315"/>
      <c r="EA52" s="315"/>
      <c r="EB52" s="315"/>
      <c r="EC52" s="315"/>
      <c r="ED52" s="315"/>
      <c r="EE52" s="315"/>
      <c r="EF52" s="315"/>
      <c r="EG52" s="315"/>
    </row>
    <row r="53" spans="9:145" s="37" customFormat="1" ht="12.75" x14ac:dyDescent="0.2">
      <c r="I53" s="281"/>
      <c r="J53" s="281"/>
      <c r="K53" s="281"/>
      <c r="L53" s="281"/>
      <c r="M53" s="281"/>
      <c r="N53" s="281"/>
      <c r="O53" s="281"/>
      <c r="P53" s="281"/>
      <c r="Q53" s="281"/>
      <c r="R53" s="281"/>
      <c r="S53" s="281"/>
      <c r="T53" s="281"/>
      <c r="U53" s="281"/>
      <c r="V53" s="281"/>
      <c r="W53" s="281"/>
      <c r="X53" s="281"/>
      <c r="Y53" s="281"/>
      <c r="Z53" s="281"/>
      <c r="AA53" s="281"/>
      <c r="AB53" s="281"/>
      <c r="AC53" s="281"/>
      <c r="AD53" s="266"/>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8"/>
      <c r="DA53" s="281"/>
      <c r="DB53" s="281"/>
      <c r="DC53" s="281"/>
      <c r="DD53" s="281"/>
      <c r="DE53" s="281"/>
      <c r="DF53" s="281"/>
      <c r="DG53" s="281"/>
      <c r="DH53" s="281"/>
      <c r="DI53" s="281"/>
      <c r="DJ53" s="281"/>
      <c r="DK53" s="281"/>
      <c r="DL53" s="281"/>
      <c r="DM53" s="281"/>
      <c r="DN53" s="281"/>
      <c r="DO53" s="281"/>
      <c r="DP53" s="281"/>
      <c r="DQ53" s="281"/>
      <c r="DR53" s="315"/>
      <c r="DS53" s="315"/>
      <c r="DT53" s="315"/>
      <c r="DU53" s="315"/>
      <c r="DV53" s="315"/>
      <c r="DW53" s="315"/>
      <c r="DX53" s="315"/>
      <c r="DY53" s="315"/>
      <c r="DZ53" s="315"/>
      <c r="EA53" s="315"/>
      <c r="EB53" s="315"/>
      <c r="EC53" s="315"/>
      <c r="ED53" s="315"/>
      <c r="EE53" s="315"/>
      <c r="EF53" s="315"/>
      <c r="EG53" s="315"/>
    </row>
    <row r="54" spans="9:145" x14ac:dyDescent="0.25">
      <c r="I54" s="298" t="s">
        <v>380</v>
      </c>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98"/>
      <c r="CK54" s="298"/>
      <c r="CL54" s="298"/>
      <c r="CM54" s="298"/>
      <c r="CN54" s="298"/>
      <c r="CO54" s="298"/>
      <c r="CP54" s="298"/>
      <c r="CQ54" s="298"/>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c r="EC54" s="298"/>
      <c r="ED54" s="298"/>
      <c r="EE54" s="298"/>
      <c r="EF54" s="298"/>
      <c r="EG54" s="298"/>
      <c r="EM54" s="37"/>
      <c r="EN54" s="37"/>
      <c r="EO54" s="37"/>
    </row>
    <row r="55" spans="9:145" x14ac:dyDescent="0.25">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98"/>
      <c r="CK55" s="298"/>
      <c r="CL55" s="298"/>
      <c r="CM55" s="298"/>
      <c r="CN55" s="298"/>
      <c r="CO55" s="298"/>
      <c r="CP55" s="298"/>
      <c r="CQ55" s="298"/>
      <c r="CR55" s="298"/>
      <c r="CS55" s="298"/>
      <c r="CT55" s="298"/>
      <c r="CU55" s="298"/>
      <c r="CV55" s="298"/>
      <c r="CW55" s="298"/>
      <c r="CX55" s="298"/>
      <c r="CY55" s="298"/>
      <c r="CZ55" s="298"/>
      <c r="DA55" s="298"/>
      <c r="DB55" s="298"/>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c r="EC55" s="298"/>
      <c r="ED55" s="298"/>
      <c r="EE55" s="298"/>
      <c r="EF55" s="298"/>
      <c r="EG55" s="298"/>
    </row>
    <row r="56" spans="9:145" x14ac:dyDescent="0.25">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8"/>
      <c r="CU56" s="298"/>
      <c r="CV56" s="298"/>
      <c r="CW56" s="298"/>
      <c r="CX56" s="298"/>
      <c r="CY56" s="298"/>
      <c r="CZ56" s="298"/>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c r="EC56" s="298"/>
      <c r="ED56" s="298"/>
      <c r="EE56" s="298"/>
      <c r="EF56" s="298"/>
      <c r="EG56" s="298"/>
    </row>
    <row r="57" spans="9:145" s="37" customFormat="1" ht="12.75" x14ac:dyDescent="0.2">
      <c r="I57" s="281" t="s">
        <v>117</v>
      </c>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81" t="s">
        <v>8</v>
      </c>
      <c r="DB57" s="281"/>
      <c r="DC57" s="281"/>
      <c r="DD57" s="281"/>
      <c r="DE57" s="281"/>
      <c r="DF57" s="281"/>
      <c r="DG57" s="281"/>
      <c r="DH57" s="281"/>
      <c r="DI57" s="281"/>
      <c r="DJ57" s="281"/>
      <c r="DK57" s="281"/>
      <c r="DL57" s="281"/>
      <c r="DM57" s="281"/>
      <c r="DN57" s="281"/>
      <c r="DO57" s="281"/>
      <c r="DP57" s="281"/>
      <c r="DQ57" s="281"/>
      <c r="DR57" s="283"/>
      <c r="DS57" s="283"/>
      <c r="DT57" s="283"/>
      <c r="DU57" s="283"/>
      <c r="DV57" s="283"/>
      <c r="DW57" s="283"/>
      <c r="DX57" s="283"/>
      <c r="DY57" s="283"/>
      <c r="DZ57" s="283"/>
      <c r="EA57" s="283"/>
      <c r="EB57" s="283"/>
      <c r="EC57" s="283"/>
      <c r="ED57" s="283"/>
      <c r="EE57" s="283"/>
      <c r="EF57" s="283"/>
      <c r="EG57" s="283"/>
    </row>
    <row r="58" spans="9:145" s="37" customFormat="1" ht="12.75" x14ac:dyDescent="0.2">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81"/>
      <c r="DB58" s="281"/>
      <c r="DC58" s="281"/>
      <c r="DD58" s="281"/>
      <c r="DE58" s="281"/>
      <c r="DF58" s="281"/>
      <c r="DG58" s="281"/>
      <c r="DH58" s="281"/>
      <c r="DI58" s="281"/>
      <c r="DJ58" s="281"/>
      <c r="DK58" s="281"/>
      <c r="DL58" s="281"/>
      <c r="DM58" s="281"/>
      <c r="DN58" s="281"/>
      <c r="DO58" s="281"/>
      <c r="DP58" s="281"/>
      <c r="DQ58" s="281"/>
      <c r="DR58" s="283"/>
      <c r="DS58" s="283"/>
      <c r="DT58" s="283"/>
      <c r="DU58" s="283"/>
      <c r="DV58" s="283"/>
      <c r="DW58" s="283"/>
      <c r="DX58" s="283"/>
      <c r="DY58" s="283"/>
      <c r="DZ58" s="283"/>
      <c r="EA58" s="283"/>
      <c r="EB58" s="283"/>
      <c r="EC58" s="283"/>
      <c r="ED58" s="283"/>
      <c r="EE58" s="283"/>
      <c r="EF58" s="283"/>
      <c r="EG58" s="283"/>
    </row>
    <row r="59" spans="9:145" s="37" customFormat="1" ht="12.75" x14ac:dyDescent="0.2">
      <c r="I59" s="248" t="s">
        <v>118</v>
      </c>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81" t="s">
        <v>8</v>
      </c>
      <c r="DB59" s="281"/>
      <c r="DC59" s="281"/>
      <c r="DD59" s="281"/>
      <c r="DE59" s="281"/>
      <c r="DF59" s="281"/>
      <c r="DG59" s="281"/>
      <c r="DH59" s="281"/>
      <c r="DI59" s="281"/>
      <c r="DJ59" s="281"/>
      <c r="DK59" s="281"/>
      <c r="DL59" s="281"/>
      <c r="DM59" s="281"/>
      <c r="DN59" s="281"/>
      <c r="DO59" s="281"/>
      <c r="DP59" s="281"/>
      <c r="DQ59" s="281"/>
      <c r="DR59" s="283"/>
      <c r="DS59" s="283"/>
      <c r="DT59" s="283"/>
      <c r="DU59" s="283"/>
      <c r="DV59" s="283"/>
      <c r="DW59" s="283"/>
      <c r="DX59" s="283"/>
      <c r="DY59" s="283"/>
      <c r="DZ59" s="283"/>
      <c r="EA59" s="283"/>
      <c r="EB59" s="283"/>
      <c r="EC59" s="283"/>
      <c r="ED59" s="283"/>
      <c r="EE59" s="283"/>
      <c r="EF59" s="283"/>
      <c r="EG59" s="283"/>
    </row>
    <row r="60" spans="9:145" s="37" customFormat="1" ht="12.75" x14ac:dyDescent="0.2">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81"/>
      <c r="DB60" s="281"/>
      <c r="DC60" s="281"/>
      <c r="DD60" s="281"/>
      <c r="DE60" s="281"/>
      <c r="DF60" s="281"/>
      <c r="DG60" s="281"/>
      <c r="DH60" s="281"/>
      <c r="DI60" s="281"/>
      <c r="DJ60" s="281"/>
      <c r="DK60" s="281"/>
      <c r="DL60" s="281"/>
      <c r="DM60" s="281"/>
      <c r="DN60" s="281"/>
      <c r="DO60" s="281"/>
      <c r="DP60" s="281"/>
      <c r="DQ60" s="281"/>
      <c r="DR60" s="283"/>
      <c r="DS60" s="283"/>
      <c r="DT60" s="283"/>
      <c r="DU60" s="283"/>
      <c r="DV60" s="283"/>
      <c r="DW60" s="283"/>
      <c r="DX60" s="283"/>
      <c r="DY60" s="283"/>
      <c r="DZ60" s="283"/>
      <c r="EA60" s="283"/>
      <c r="EB60" s="283"/>
      <c r="EC60" s="283"/>
      <c r="ED60" s="283"/>
      <c r="EE60" s="283"/>
      <c r="EF60" s="283"/>
      <c r="EG60" s="283"/>
    </row>
    <row r="61" spans="9:145" s="37" customFormat="1" ht="12.75" x14ac:dyDescent="0.2">
      <c r="I61" s="248" t="s">
        <v>119</v>
      </c>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81" t="s">
        <v>8</v>
      </c>
      <c r="DB61" s="281"/>
      <c r="DC61" s="281"/>
      <c r="DD61" s="281"/>
      <c r="DE61" s="281"/>
      <c r="DF61" s="281"/>
      <c r="DG61" s="281"/>
      <c r="DH61" s="281"/>
      <c r="DI61" s="281"/>
      <c r="DJ61" s="281"/>
      <c r="DK61" s="281"/>
      <c r="DL61" s="281"/>
      <c r="DM61" s="281"/>
      <c r="DN61" s="281"/>
      <c r="DO61" s="281"/>
      <c r="DP61" s="281"/>
      <c r="DQ61" s="281"/>
      <c r="DR61" s="283"/>
      <c r="DS61" s="283"/>
      <c r="DT61" s="283"/>
      <c r="DU61" s="283"/>
      <c r="DV61" s="283"/>
      <c r="DW61" s="283"/>
      <c r="DX61" s="283"/>
      <c r="DY61" s="283"/>
      <c r="DZ61" s="283"/>
      <c r="EA61" s="283"/>
      <c r="EB61" s="283"/>
      <c r="EC61" s="283"/>
      <c r="ED61" s="283"/>
      <c r="EE61" s="283"/>
      <c r="EF61" s="283"/>
      <c r="EG61" s="283"/>
    </row>
    <row r="62" spans="9:145" s="37" customFormat="1" ht="12.75" x14ac:dyDescent="0.2">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81"/>
      <c r="DB62" s="281"/>
      <c r="DC62" s="281"/>
      <c r="DD62" s="281"/>
      <c r="DE62" s="281"/>
      <c r="DF62" s="281"/>
      <c r="DG62" s="281"/>
      <c r="DH62" s="281"/>
      <c r="DI62" s="281"/>
      <c r="DJ62" s="281"/>
      <c r="DK62" s="281"/>
      <c r="DL62" s="281"/>
      <c r="DM62" s="281"/>
      <c r="DN62" s="281"/>
      <c r="DO62" s="281"/>
      <c r="DP62" s="281"/>
      <c r="DQ62" s="281"/>
      <c r="DR62" s="283"/>
      <c r="DS62" s="283"/>
      <c r="DT62" s="283"/>
      <c r="DU62" s="283"/>
      <c r="DV62" s="283"/>
      <c r="DW62" s="283"/>
      <c r="DX62" s="283"/>
      <c r="DY62" s="283"/>
      <c r="DZ62" s="283"/>
      <c r="EA62" s="283"/>
      <c r="EB62" s="283"/>
      <c r="EC62" s="283"/>
      <c r="ED62" s="283"/>
      <c r="EE62" s="283"/>
      <c r="EF62" s="283"/>
      <c r="EG62" s="283"/>
    </row>
    <row r="63" spans="9:145" ht="9" customHeight="1" x14ac:dyDescent="0.25">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row>
    <row r="64" spans="9:145" x14ac:dyDescent="0.25">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row>
    <row r="65" spans="9:99" x14ac:dyDescent="0.25">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row>
    <row r="66" spans="9:99" x14ac:dyDescent="0.25">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row>
    <row r="67" spans="9:99" x14ac:dyDescent="0.25">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row>
    <row r="68" spans="9:99" x14ac:dyDescent="0.25">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row>
    <row r="69" spans="9:99" x14ac:dyDescent="0.25">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row>
    <row r="70" spans="9:99" x14ac:dyDescent="0.25">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row>
    <row r="71" spans="9:99" x14ac:dyDescent="0.25">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row>
    <row r="72" spans="9:99" x14ac:dyDescent="0.25">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row>
    <row r="73" spans="9:99" x14ac:dyDescent="0.25">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row>
    <row r="74" spans="9:99" x14ac:dyDescent="0.25">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row>
    <row r="75" spans="9:99" x14ac:dyDescent="0.25">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row>
    <row r="76" spans="9:99" x14ac:dyDescent="0.25">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row>
    <row r="77" spans="9:99" ht="13.5" customHeight="1" x14ac:dyDescent="0.25">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row>
    <row r="78" spans="9:99" ht="9.75" customHeight="1" x14ac:dyDescent="0.25">
      <c r="I78" s="7"/>
      <c r="J78" s="7"/>
      <c r="K78" s="7"/>
      <c r="L78" s="8"/>
      <c r="M78" s="7"/>
    </row>
    <row r="79" spans="9:99" x14ac:dyDescent="0.25">
      <c r="I79" s="7"/>
      <c r="J79" s="7"/>
      <c r="K79" s="7"/>
      <c r="L79" s="8"/>
      <c r="M79" s="7"/>
    </row>
    <row r="80" spans="9:99" x14ac:dyDescent="0.25">
      <c r="I80" s="7"/>
      <c r="J80" s="7"/>
      <c r="K80" s="7"/>
      <c r="L80" s="8"/>
      <c r="M80" s="7"/>
    </row>
    <row r="81" spans="1:137" x14ac:dyDescent="0.25">
      <c r="I81" s="7"/>
      <c r="J81" s="7"/>
      <c r="K81" s="7"/>
      <c r="L81" s="9"/>
      <c r="M81" s="7"/>
    </row>
    <row r="82" spans="1:137" s="14" customFormat="1" ht="19.5" customHeight="1" x14ac:dyDescent="0.3">
      <c r="A82" s="12"/>
      <c r="B82" s="12"/>
      <c r="C82" s="12"/>
      <c r="D82" s="12"/>
      <c r="E82" s="12"/>
      <c r="F82" s="12"/>
      <c r="G82" s="12"/>
      <c r="H82" s="12"/>
      <c r="I82" s="13"/>
      <c r="J82" s="13"/>
      <c r="K82" s="13"/>
      <c r="L82" s="13"/>
      <c r="M82" s="197" t="str">
        <f>TRIM(K46)</f>
        <v/>
      </c>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8">
        <f>IFERROR(AV46,"")</f>
        <v>0</v>
      </c>
      <c r="BB82" s="198"/>
      <c r="BC82" s="198"/>
      <c r="BD82" s="198"/>
      <c r="BE82" s="198"/>
      <c r="BF82" s="198"/>
      <c r="BG82" s="198"/>
      <c r="BH82" s="198"/>
      <c r="BI82" s="198"/>
      <c r="BJ82" s="198"/>
      <c r="BK82" s="198"/>
      <c r="BL82" s="198"/>
      <c r="BM82" s="198"/>
      <c r="BN82" s="198"/>
      <c r="BO82" s="198"/>
      <c r="BP82" s="198"/>
      <c r="BQ82" s="198"/>
      <c r="BR82" s="198"/>
      <c r="BS82" s="198"/>
      <c r="BT82" s="48"/>
      <c r="BU82" s="48"/>
      <c r="BV82" s="48"/>
      <c r="BW82" s="12"/>
      <c r="BX82" s="196" t="str">
        <f ca="1">BI46</f>
        <v/>
      </c>
      <c r="BY82" s="196"/>
      <c r="BZ82" s="196"/>
      <c r="CA82" s="196"/>
      <c r="CB82" s="196"/>
      <c r="CC82" s="196"/>
      <c r="CD82" s="196"/>
      <c r="CE82" s="196"/>
      <c r="CF82" s="196"/>
      <c r="CG82" s="196"/>
      <c r="CH82" s="196"/>
      <c r="CI82" s="196"/>
      <c r="CJ82" s="196"/>
      <c r="CK82" s="196"/>
      <c r="CL82" s="12"/>
      <c r="CM82" s="195" t="str">
        <f>BR46 &amp; ""</f>
        <v/>
      </c>
      <c r="CN82" s="195"/>
      <c r="CO82" s="195"/>
      <c r="CP82" s="195"/>
      <c r="CQ82" s="195"/>
      <c r="CR82" s="195"/>
      <c r="CS82" s="195"/>
      <c r="CT82" s="195"/>
      <c r="CU82" s="195"/>
      <c r="CV82" s="195"/>
      <c r="CW82" s="195"/>
      <c r="CX82" s="195"/>
      <c r="CY82" s="195"/>
      <c r="CZ82" s="195"/>
      <c r="DA82" s="195"/>
      <c r="DB82" s="195"/>
      <c r="DC82" s="195"/>
      <c r="DD82" s="195"/>
      <c r="DE82" s="195"/>
      <c r="DF82" s="195"/>
      <c r="DG82" s="195"/>
      <c r="DH82" s="195"/>
      <c r="DI82" s="195"/>
      <c r="DJ82" s="195"/>
      <c r="DK82" s="195"/>
      <c r="DL82" s="195"/>
      <c r="DM82" s="195"/>
      <c r="DN82" s="195"/>
      <c r="DO82" s="195"/>
      <c r="DP82" s="12"/>
      <c r="DQ82" s="12"/>
      <c r="DR82" s="12"/>
      <c r="DS82" s="12"/>
      <c r="DT82" s="12"/>
      <c r="DU82" s="12"/>
      <c r="DV82" s="12"/>
      <c r="DW82" s="12"/>
      <c r="DX82" s="12"/>
      <c r="DY82" s="12"/>
      <c r="DZ82" s="12"/>
      <c r="EA82" s="12"/>
      <c r="EB82" s="12"/>
      <c r="EC82" s="12"/>
      <c r="ED82" s="12"/>
      <c r="EE82" s="12"/>
      <c r="EF82" s="12"/>
      <c r="EG82" s="12"/>
    </row>
    <row r="83" spans="1:137" s="14" customFormat="1" ht="21" customHeight="1" x14ac:dyDescent="0.3">
      <c r="A83" s="12"/>
      <c r="B83" s="12"/>
      <c r="C83" s="12"/>
      <c r="D83" s="12"/>
      <c r="E83" s="12"/>
      <c r="F83" s="12"/>
      <c r="G83" s="12"/>
      <c r="H83" s="12"/>
      <c r="I83" s="13"/>
      <c r="J83" s="13"/>
      <c r="K83" s="13"/>
      <c r="L83" s="13"/>
      <c r="M83" s="197" t="str">
        <f>TRIM(K47)</f>
        <v/>
      </c>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8">
        <f>IFERROR(AV47,"")</f>
        <v>0</v>
      </c>
      <c r="BB83" s="198"/>
      <c r="BC83" s="198"/>
      <c r="BD83" s="198"/>
      <c r="BE83" s="198"/>
      <c r="BF83" s="198"/>
      <c r="BG83" s="198"/>
      <c r="BH83" s="198"/>
      <c r="BI83" s="198"/>
      <c r="BJ83" s="198"/>
      <c r="BK83" s="198"/>
      <c r="BL83" s="198"/>
      <c r="BM83" s="198"/>
      <c r="BN83" s="198"/>
      <c r="BO83" s="198"/>
      <c r="BP83" s="198"/>
      <c r="BQ83" s="198"/>
      <c r="BR83" s="198"/>
      <c r="BS83" s="198"/>
      <c r="BT83" s="48"/>
      <c r="BU83" s="48"/>
      <c r="BV83" s="48"/>
      <c r="BW83" s="12"/>
      <c r="BX83" s="196" t="str">
        <f ca="1">BI47</f>
        <v/>
      </c>
      <c r="BY83" s="196"/>
      <c r="BZ83" s="196"/>
      <c r="CA83" s="196"/>
      <c r="CB83" s="196"/>
      <c r="CC83" s="196"/>
      <c r="CD83" s="196"/>
      <c r="CE83" s="196"/>
      <c r="CF83" s="196"/>
      <c r="CG83" s="196"/>
      <c r="CH83" s="196"/>
      <c r="CI83" s="196"/>
      <c r="CJ83" s="196"/>
      <c r="CK83" s="196"/>
      <c r="CL83" s="12"/>
      <c r="CM83" s="195" t="str">
        <f>BR47 &amp; ""</f>
        <v/>
      </c>
      <c r="CN83" s="195"/>
      <c r="CO83" s="195"/>
      <c r="CP83" s="195"/>
      <c r="CQ83" s="195"/>
      <c r="CR83" s="195"/>
      <c r="CS83" s="195"/>
      <c r="CT83" s="195"/>
      <c r="CU83" s="195"/>
      <c r="CV83" s="195"/>
      <c r="CW83" s="195"/>
      <c r="CX83" s="195"/>
      <c r="CY83" s="195"/>
      <c r="CZ83" s="195"/>
      <c r="DA83" s="195"/>
      <c r="DB83" s="195"/>
      <c r="DC83" s="195"/>
      <c r="DD83" s="195"/>
      <c r="DE83" s="195"/>
      <c r="DF83" s="195"/>
      <c r="DG83" s="195"/>
      <c r="DH83" s="195"/>
      <c r="DI83" s="195"/>
      <c r="DJ83" s="195"/>
      <c r="DK83" s="195"/>
      <c r="DL83" s="195"/>
      <c r="DM83" s="195"/>
      <c r="DN83" s="195"/>
      <c r="DO83" s="195"/>
      <c r="DP83" s="12"/>
      <c r="DQ83" s="12"/>
      <c r="DR83" s="12"/>
      <c r="DS83" s="12"/>
      <c r="DT83" s="12"/>
      <c r="DU83" s="12"/>
      <c r="DV83" s="12"/>
      <c r="DW83" s="12"/>
      <c r="DX83" s="12"/>
      <c r="DY83" s="12"/>
      <c r="DZ83" s="12"/>
      <c r="EA83" s="12"/>
      <c r="EB83" s="12"/>
      <c r="EC83" s="12"/>
      <c r="ED83" s="12"/>
      <c r="EE83" s="12"/>
      <c r="EF83" s="12"/>
      <c r="EG83" s="12"/>
    </row>
    <row r="84" spans="1:137" s="14" customFormat="1" ht="21.75" customHeight="1" x14ac:dyDescent="0.3">
      <c r="A84" s="12"/>
      <c r="B84" s="12"/>
      <c r="C84" s="12"/>
      <c r="D84" s="12"/>
      <c r="E84" s="12"/>
      <c r="F84" s="12"/>
      <c r="G84" s="12"/>
      <c r="H84" s="12"/>
      <c r="I84" s="13"/>
      <c r="J84" s="13"/>
      <c r="K84" s="13"/>
      <c r="L84" s="13"/>
      <c r="M84" s="197" t="str">
        <f>TRIM(K48)</f>
        <v/>
      </c>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8">
        <f>IFERROR(AV48,"")</f>
        <v>0</v>
      </c>
      <c r="BB84" s="198"/>
      <c r="BC84" s="198"/>
      <c r="BD84" s="198"/>
      <c r="BE84" s="198"/>
      <c r="BF84" s="198"/>
      <c r="BG84" s="198"/>
      <c r="BH84" s="198"/>
      <c r="BI84" s="198"/>
      <c r="BJ84" s="198"/>
      <c r="BK84" s="198"/>
      <c r="BL84" s="198"/>
      <c r="BM84" s="198"/>
      <c r="BN84" s="198"/>
      <c r="BO84" s="198"/>
      <c r="BP84" s="198"/>
      <c r="BQ84" s="198"/>
      <c r="BR84" s="198"/>
      <c r="BS84" s="198"/>
      <c r="BT84" s="48"/>
      <c r="BU84" s="48"/>
      <c r="BV84" s="48"/>
      <c r="BW84" s="12"/>
      <c r="BX84" s="196" t="str">
        <f ca="1">BI48</f>
        <v/>
      </c>
      <c r="BY84" s="196"/>
      <c r="BZ84" s="196"/>
      <c r="CA84" s="196"/>
      <c r="CB84" s="196"/>
      <c r="CC84" s="196"/>
      <c r="CD84" s="196"/>
      <c r="CE84" s="196"/>
      <c r="CF84" s="196"/>
      <c r="CG84" s="196"/>
      <c r="CH84" s="196"/>
      <c r="CI84" s="196"/>
      <c r="CJ84" s="196"/>
      <c r="CK84" s="196"/>
      <c r="CL84" s="12"/>
      <c r="CM84" s="195" t="str">
        <f>BR48 &amp; ""</f>
        <v/>
      </c>
      <c r="CN84" s="195"/>
      <c r="CO84" s="195"/>
      <c r="CP84" s="195"/>
      <c r="CQ84" s="195"/>
      <c r="CR84" s="195"/>
      <c r="CS84" s="195"/>
      <c r="CT84" s="195"/>
      <c r="CU84" s="195"/>
      <c r="CV84" s="195"/>
      <c r="CW84" s="195"/>
      <c r="CX84" s="195"/>
      <c r="CY84" s="195"/>
      <c r="CZ84" s="195"/>
      <c r="DA84" s="195"/>
      <c r="DB84" s="195"/>
      <c r="DC84" s="195"/>
      <c r="DD84" s="195"/>
      <c r="DE84" s="195"/>
      <c r="DF84" s="195"/>
      <c r="DG84" s="195"/>
      <c r="DH84" s="195"/>
      <c r="DI84" s="195"/>
      <c r="DJ84" s="195"/>
      <c r="DK84" s="195"/>
      <c r="DL84" s="195"/>
      <c r="DM84" s="195"/>
      <c r="DN84" s="195"/>
      <c r="DO84" s="195"/>
      <c r="DP84" s="12"/>
      <c r="DQ84" s="12"/>
      <c r="DR84" s="12"/>
      <c r="DS84" s="12"/>
      <c r="DT84" s="12"/>
      <c r="DU84" s="12"/>
      <c r="DV84" s="12"/>
      <c r="DW84" s="12"/>
      <c r="DX84" s="12"/>
      <c r="DY84" s="12"/>
      <c r="DZ84" s="12"/>
      <c r="EA84" s="12"/>
      <c r="EB84" s="12"/>
      <c r="EC84" s="12"/>
      <c r="ED84" s="12"/>
      <c r="EE84" s="12"/>
      <c r="EF84" s="12"/>
      <c r="EG84" s="12"/>
    </row>
    <row r="85" spans="1:137" s="14" customFormat="1" ht="21.75" customHeight="1" x14ac:dyDescent="0.3">
      <c r="A85" s="12"/>
      <c r="B85" s="12"/>
      <c r="C85" s="12"/>
      <c r="D85" s="12"/>
      <c r="E85" s="12"/>
      <c r="F85" s="12"/>
      <c r="G85" s="12"/>
      <c r="H85" s="12"/>
      <c r="I85" s="13"/>
      <c r="J85" s="13"/>
      <c r="K85" s="13"/>
      <c r="L85" s="13"/>
      <c r="M85" s="197" t="str">
        <f>TRIM(K49)</f>
        <v/>
      </c>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8">
        <f>IFERROR(AV49,"")</f>
        <v>0</v>
      </c>
      <c r="BB85" s="198"/>
      <c r="BC85" s="198"/>
      <c r="BD85" s="198"/>
      <c r="BE85" s="198"/>
      <c r="BF85" s="198"/>
      <c r="BG85" s="198"/>
      <c r="BH85" s="198"/>
      <c r="BI85" s="198"/>
      <c r="BJ85" s="198"/>
      <c r="BK85" s="198"/>
      <c r="BL85" s="198"/>
      <c r="BM85" s="198"/>
      <c r="BN85" s="198"/>
      <c r="BO85" s="198"/>
      <c r="BP85" s="198"/>
      <c r="BQ85" s="198"/>
      <c r="BR85" s="198"/>
      <c r="BS85" s="198"/>
      <c r="BT85" s="48"/>
      <c r="BU85" s="48"/>
      <c r="BV85" s="48"/>
      <c r="BW85" s="12"/>
      <c r="BX85" s="196" t="str">
        <f ca="1">BI49</f>
        <v/>
      </c>
      <c r="BY85" s="196"/>
      <c r="BZ85" s="196"/>
      <c r="CA85" s="196"/>
      <c r="CB85" s="196"/>
      <c r="CC85" s="196"/>
      <c r="CD85" s="196"/>
      <c r="CE85" s="196"/>
      <c r="CF85" s="196"/>
      <c r="CG85" s="196"/>
      <c r="CH85" s="196"/>
      <c r="CI85" s="196"/>
      <c r="CJ85" s="196"/>
      <c r="CK85" s="196"/>
      <c r="CL85" s="12"/>
      <c r="CM85" s="195" t="str">
        <f>BR49 &amp; ""</f>
        <v/>
      </c>
      <c r="CN85" s="195"/>
      <c r="CO85" s="195"/>
      <c r="CP85" s="195"/>
      <c r="CQ85" s="195"/>
      <c r="CR85" s="195"/>
      <c r="CS85" s="195"/>
      <c r="CT85" s="195"/>
      <c r="CU85" s="195"/>
      <c r="CV85" s="195"/>
      <c r="CW85" s="195"/>
      <c r="CX85" s="195"/>
      <c r="CY85" s="195"/>
      <c r="CZ85" s="195"/>
      <c r="DA85" s="195"/>
      <c r="DB85" s="195"/>
      <c r="DC85" s="195"/>
      <c r="DD85" s="195"/>
      <c r="DE85" s="195"/>
      <c r="DF85" s="195"/>
      <c r="DG85" s="195"/>
      <c r="DH85" s="195"/>
      <c r="DI85" s="195"/>
      <c r="DJ85" s="195"/>
      <c r="DK85" s="195"/>
      <c r="DL85" s="195"/>
      <c r="DM85" s="195"/>
      <c r="DN85" s="195"/>
      <c r="DO85" s="195"/>
      <c r="DP85" s="12"/>
      <c r="DQ85" s="12"/>
      <c r="DR85" s="12"/>
      <c r="DS85" s="12"/>
      <c r="DT85" s="12"/>
      <c r="DU85" s="12"/>
      <c r="DV85" s="12"/>
      <c r="DW85" s="12"/>
      <c r="DX85" s="12"/>
      <c r="DY85" s="12"/>
      <c r="DZ85" s="12"/>
      <c r="EA85" s="12"/>
      <c r="EB85" s="12"/>
      <c r="EC85" s="12"/>
      <c r="ED85" s="12"/>
      <c r="EE85" s="12"/>
      <c r="EF85" s="12"/>
      <c r="EG85" s="12"/>
    </row>
    <row r="86" spans="1:137" s="14" customFormat="1" ht="20.25" customHeight="1" x14ac:dyDescent="0.3">
      <c r="A86" s="12"/>
      <c r="B86" s="12"/>
      <c r="C86" s="12"/>
      <c r="D86" s="12"/>
      <c r="E86" s="12"/>
      <c r="F86" s="12"/>
      <c r="G86" s="12"/>
      <c r="H86" s="12"/>
      <c r="I86" s="13"/>
      <c r="J86" s="13"/>
      <c r="K86" s="13"/>
      <c r="L86" s="13"/>
      <c r="M86" s="197" t="str">
        <f>TRIM(K50)</f>
        <v/>
      </c>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8">
        <f>IFERROR(AV50,"")</f>
        <v>0</v>
      </c>
      <c r="BB86" s="198"/>
      <c r="BC86" s="198"/>
      <c r="BD86" s="198"/>
      <c r="BE86" s="198"/>
      <c r="BF86" s="198"/>
      <c r="BG86" s="198"/>
      <c r="BH86" s="198"/>
      <c r="BI86" s="198"/>
      <c r="BJ86" s="198"/>
      <c r="BK86" s="198"/>
      <c r="BL86" s="198"/>
      <c r="BM86" s="198"/>
      <c r="BN86" s="198"/>
      <c r="BO86" s="198"/>
      <c r="BP86" s="198"/>
      <c r="BQ86" s="198"/>
      <c r="BR86" s="198"/>
      <c r="BS86" s="198"/>
      <c r="BT86" s="48"/>
      <c r="BU86" s="48"/>
      <c r="BV86" s="48"/>
      <c r="BW86" s="12"/>
      <c r="BX86" s="196" t="str">
        <f ca="1">BI50</f>
        <v/>
      </c>
      <c r="BY86" s="196"/>
      <c r="BZ86" s="196"/>
      <c r="CA86" s="196"/>
      <c r="CB86" s="196"/>
      <c r="CC86" s="196"/>
      <c r="CD86" s="196"/>
      <c r="CE86" s="196"/>
      <c r="CF86" s="196"/>
      <c r="CG86" s="196"/>
      <c r="CH86" s="196"/>
      <c r="CI86" s="196"/>
      <c r="CJ86" s="196"/>
      <c r="CK86" s="196"/>
      <c r="CL86" s="12"/>
      <c r="CM86" s="195" t="str">
        <f>BR50 &amp; ""</f>
        <v/>
      </c>
      <c r="CN86" s="195"/>
      <c r="CO86" s="195"/>
      <c r="CP86" s="195"/>
      <c r="CQ86" s="195"/>
      <c r="CR86" s="195"/>
      <c r="CS86" s="195"/>
      <c r="CT86" s="195"/>
      <c r="CU86" s="195"/>
      <c r="CV86" s="195"/>
      <c r="CW86" s="195"/>
      <c r="CX86" s="195"/>
      <c r="CY86" s="195"/>
      <c r="CZ86" s="195"/>
      <c r="DA86" s="195"/>
      <c r="DB86" s="195"/>
      <c r="DC86" s="195"/>
      <c r="DD86" s="195"/>
      <c r="DE86" s="195"/>
      <c r="DF86" s="195"/>
      <c r="DG86" s="195"/>
      <c r="DH86" s="195"/>
      <c r="DI86" s="195"/>
      <c r="DJ86" s="195"/>
      <c r="DK86" s="195"/>
      <c r="DL86" s="195"/>
      <c r="DM86" s="195"/>
      <c r="DN86" s="195"/>
      <c r="DO86" s="195"/>
      <c r="DP86" s="12"/>
      <c r="DQ86" s="12"/>
      <c r="DR86" s="12"/>
      <c r="DS86" s="12"/>
      <c r="DT86" s="12"/>
      <c r="DU86" s="12"/>
      <c r="DV86" s="12"/>
      <c r="DW86" s="12"/>
      <c r="DX86" s="12"/>
      <c r="DY86" s="12"/>
      <c r="DZ86" s="12"/>
      <c r="EA86" s="12"/>
      <c r="EB86" s="12"/>
      <c r="EC86" s="12"/>
      <c r="ED86" s="12"/>
      <c r="EE86" s="12"/>
      <c r="EF86" s="12"/>
      <c r="EG86" s="12"/>
    </row>
    <row r="87" spans="1:137" x14ac:dyDescent="0.25">
      <c r="A87" s="10"/>
      <c r="B87" s="10"/>
      <c r="C87" s="10"/>
      <c r="D87" s="10"/>
      <c r="E87" s="10"/>
      <c r="F87" s="10"/>
      <c r="G87" s="10"/>
      <c r="H87" s="10"/>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row>
    <row r="88" spans="1:137"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row>
    <row r="89" spans="1:137" ht="15.7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row>
    <row r="90" spans="1:137" x14ac:dyDescent="0.25">
      <c r="A90" s="10"/>
      <c r="B90" s="10"/>
      <c r="C90" s="10"/>
      <c r="D90" s="10"/>
      <c r="E90" s="10"/>
      <c r="F90" s="10"/>
      <c r="G90" s="10"/>
      <c r="H90" s="10"/>
      <c r="I90" s="10"/>
      <c r="K90" s="10"/>
      <c r="L90" s="10">
        <f>AV3</f>
        <v>0</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6" t="str">
        <f>IF(AV11 = "", "", IFERROR(TRIM(LEFT(AV11, 2)) + 0, 0) &amp; Lists!AR3 &amp; IF(IFERROR(TRIM(LEFT(AV11, 2)) + 0, 0) &lt;&gt; 1, Lists!AR5, "")) &amp; IF("" = "", "", Lists!AR4) &amp;
IF(AND(AV11 &gt; "", CG11 &gt; ""), " / ", "") &amp;
IF(CG11 = "", "", IFERROR(TRIM(LEFT(CG11, 2)) + 0, 0) &amp; Lists!AR3 &amp; IF(IFERROR(TRIM(LEFT(CG11, 2)) + 0, 0) &lt;&gt; 1, Lists!AR5, "")) &amp; IF("" = "", "", Lists!AR4)</f>
        <v/>
      </c>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row>
    <row r="91" spans="1:137"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row>
    <row r="92" spans="1:137" ht="15.7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row>
    <row r="93" spans="1:137" s="14" customFormat="1" ht="30.75" customHeight="1" x14ac:dyDescent="0.3">
      <c r="A93" s="12"/>
      <c r="B93" s="12"/>
      <c r="C93" s="12"/>
      <c r="D93" s="12"/>
      <c r="E93" s="12"/>
      <c r="F93" s="12"/>
      <c r="G93" s="12"/>
      <c r="H93" s="12"/>
      <c r="I93" s="12"/>
      <c r="K93" s="192">
        <f>EJ15 + SUM(EJ28:EJ32) + EJ35</f>
        <v>0</v>
      </c>
      <c r="L93" s="192"/>
      <c r="M93" s="192"/>
      <c r="N93" s="192"/>
      <c r="O93" s="192"/>
      <c r="P93" s="192"/>
      <c r="Q93" s="192"/>
      <c r="R93" s="192"/>
      <c r="S93" s="192"/>
      <c r="T93" s="192"/>
      <c r="U93" s="192"/>
      <c r="V93" s="192"/>
      <c r="W93" s="192"/>
      <c r="X93" s="192"/>
      <c r="Y93" s="191">
        <f ca="1">IFERROR(EJ17,"-")</f>
        <v>0</v>
      </c>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f ca="1">IFERROR(EJ18,"-")</f>
        <v>0</v>
      </c>
      <c r="BD93" s="191"/>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f>SUM(EJ19:EJ23) + EJ33 + EJ34</f>
        <v>0</v>
      </c>
      <c r="CG93" s="191"/>
      <c r="CH93" s="191"/>
      <c r="CI93" s="191"/>
      <c r="CJ93" s="191"/>
      <c r="CK93" s="191"/>
      <c r="CL93" s="191"/>
      <c r="CM93" s="191"/>
      <c r="CN93" s="191"/>
      <c r="CO93" s="191"/>
      <c r="CP93" s="191"/>
      <c r="CQ93" s="191"/>
      <c r="CR93" s="191"/>
      <c r="CS93" s="191"/>
      <c r="CT93" s="191"/>
      <c r="CU93" s="191"/>
      <c r="CV93" s="191"/>
      <c r="CW93" s="191"/>
      <c r="CX93" s="191"/>
      <c r="CY93" s="191"/>
      <c r="CZ93" s="191"/>
      <c r="DA93" s="191">
        <f ca="1">IFERROR(K93+0,0) + IFERROR(Y93+0,0) + IFERROR(BC93+0,0) + IFERROR(CF93+0,0)</f>
        <v>0</v>
      </c>
      <c r="DB93" s="191"/>
      <c r="DC93" s="191"/>
      <c r="DD93" s="191"/>
      <c r="DE93" s="191"/>
      <c r="DF93" s="191"/>
      <c r="DG93" s="191"/>
      <c r="DH93" s="191"/>
      <c r="DI93" s="191"/>
      <c r="DJ93" s="191"/>
      <c r="DK93" s="191"/>
      <c r="DL93" s="191"/>
      <c r="DM93" s="191"/>
      <c r="DN93" s="191"/>
      <c r="DO93" s="191"/>
      <c r="DP93" s="191"/>
      <c r="DQ93" s="191"/>
      <c r="DR93" s="191"/>
      <c r="DS93" s="191"/>
      <c r="DT93" s="191"/>
      <c r="DU93" s="191"/>
      <c r="DV93" s="191"/>
      <c r="DW93" s="191"/>
      <c r="DX93" s="191"/>
      <c r="DY93" s="191"/>
      <c r="DZ93" s="191"/>
      <c r="EA93" s="191"/>
      <c r="EB93" s="49"/>
      <c r="EC93" s="49"/>
      <c r="ED93" s="49"/>
      <c r="EE93" s="49"/>
      <c r="EF93" s="49"/>
      <c r="EG93" s="12"/>
    </row>
    <row r="94" spans="1:137"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row>
    <row r="95" spans="1:137" ht="5.2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row>
    <row r="96" spans="1:137" s="14" customFormat="1" ht="30" customHeight="1" x14ac:dyDescent="0.3">
      <c r="A96" s="12"/>
      <c r="B96" s="12"/>
      <c r="C96" s="12"/>
      <c r="D96" s="12"/>
      <c r="E96" s="12"/>
      <c r="F96" s="12"/>
      <c r="G96" s="12"/>
      <c r="H96" s="12"/>
      <c r="I96" s="12"/>
      <c r="K96" s="187" t="str">
        <f>CG3 &amp; ""</f>
        <v/>
      </c>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91">
        <f ca="1">CG26 + SUM(EK28:EK32) + EK35</f>
        <v>0</v>
      </c>
      <c r="CJ96" s="191"/>
      <c r="CK96" s="191"/>
      <c r="CL96" s="191"/>
      <c r="CM96" s="191"/>
      <c r="CN96" s="191"/>
      <c r="CO96" s="191"/>
      <c r="CP96" s="191"/>
      <c r="CQ96" s="191"/>
      <c r="CR96" s="191"/>
      <c r="CS96" s="191"/>
      <c r="CT96" s="191"/>
      <c r="CU96" s="191"/>
      <c r="CV96" s="191"/>
      <c r="CW96" s="191"/>
      <c r="CX96" s="191"/>
      <c r="CY96" s="191"/>
      <c r="CZ96" s="191"/>
      <c r="DA96" s="191"/>
      <c r="DB96" s="191"/>
      <c r="DC96" s="191"/>
      <c r="DD96" s="191"/>
      <c r="DE96" s="191"/>
      <c r="DF96" s="191"/>
      <c r="DG96" s="191"/>
      <c r="DH96" s="191"/>
      <c r="DI96" s="191"/>
      <c r="DJ96" s="191"/>
      <c r="DK96" s="191"/>
      <c r="DL96" s="191"/>
      <c r="DM96" s="191"/>
      <c r="DN96" s="191"/>
      <c r="DO96" s="191"/>
      <c r="DP96" s="191"/>
      <c r="DQ96" s="191"/>
      <c r="DR96" s="191"/>
      <c r="DS96" s="191"/>
      <c r="DT96" s="191"/>
      <c r="DU96" s="191"/>
      <c r="DV96" s="191"/>
      <c r="DW96" s="191"/>
      <c r="DX96" s="191"/>
      <c r="DY96" s="191"/>
      <c r="DZ96" s="191"/>
      <c r="EA96" s="191"/>
      <c r="EB96" s="18"/>
      <c r="EC96" s="18"/>
      <c r="ED96" s="18"/>
      <c r="EE96" s="18"/>
      <c r="EF96" s="18"/>
      <c r="EG96" s="12"/>
    </row>
    <row r="97" spans="1:138" ht="16.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row>
    <row r="98" spans="1:138" s="14" customFormat="1" ht="27" customHeight="1" x14ac:dyDescent="0.3">
      <c r="A98" s="12"/>
      <c r="B98" s="12"/>
      <c r="C98" s="12"/>
      <c r="D98" s="12"/>
      <c r="E98" s="12"/>
      <c r="F98" s="12"/>
      <c r="G98" s="12"/>
      <c r="H98" s="12"/>
      <c r="I98" s="12"/>
      <c r="K98" s="191">
        <f>EK33 + EK34</f>
        <v>0</v>
      </c>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f ca="1">DA93+CI96+K98</f>
        <v>0</v>
      </c>
      <c r="CJ98" s="191"/>
      <c r="CK98" s="191"/>
      <c r="CL98" s="191"/>
      <c r="CM98" s="191"/>
      <c r="CN98" s="191"/>
      <c r="CO98" s="191"/>
      <c r="CP98" s="191"/>
      <c r="CQ98" s="191"/>
      <c r="CR98" s="191"/>
      <c r="CS98" s="191"/>
      <c r="CT98" s="191"/>
      <c r="CU98" s="191"/>
      <c r="CV98" s="191"/>
      <c r="CW98" s="191"/>
      <c r="CX98" s="191"/>
      <c r="CY98" s="191"/>
      <c r="CZ98" s="191"/>
      <c r="DA98" s="191"/>
      <c r="DB98" s="191"/>
      <c r="DC98" s="191"/>
      <c r="DD98" s="191"/>
      <c r="DE98" s="191"/>
      <c r="DF98" s="191"/>
      <c r="DG98" s="191"/>
      <c r="DH98" s="191"/>
      <c r="DI98" s="191"/>
      <c r="DJ98" s="191"/>
      <c r="DK98" s="191"/>
      <c r="DL98" s="191"/>
      <c r="DM98" s="191"/>
      <c r="DN98" s="191"/>
      <c r="DO98" s="191"/>
      <c r="DP98" s="191"/>
      <c r="DQ98" s="191"/>
      <c r="DR98" s="191"/>
      <c r="DS98" s="191"/>
      <c r="DT98" s="191"/>
      <c r="DU98" s="191"/>
      <c r="DV98" s="191"/>
      <c r="DW98" s="191"/>
      <c r="DX98" s="191"/>
      <c r="DY98" s="191"/>
      <c r="DZ98" s="191"/>
      <c r="EA98" s="191"/>
      <c r="EB98" s="191"/>
      <c r="EC98" s="18"/>
      <c r="ED98" s="18"/>
      <c r="EE98" s="18"/>
      <c r="EF98" s="18"/>
      <c r="EG98" s="12"/>
    </row>
    <row r="99" spans="1:138"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row>
    <row r="100" spans="1:138"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row>
    <row r="101" spans="1:138"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row>
    <row r="102" spans="1:138"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row>
    <row r="103" spans="1:138" ht="24.75" customHeight="1" x14ac:dyDescent="0.25">
      <c r="A103" s="10"/>
      <c r="B103" s="10"/>
      <c r="C103" s="10"/>
      <c r="D103" s="10"/>
      <c r="E103" s="10"/>
      <c r="F103" s="10"/>
      <c r="G103" s="10"/>
      <c r="H103" s="10"/>
      <c r="J103" s="52"/>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3"/>
      <c r="BY103" s="193"/>
      <c r="BZ103" s="193"/>
      <c r="CA103" s="193"/>
      <c r="CB103" s="193"/>
      <c r="CC103" s="193"/>
      <c r="CD103" s="193"/>
      <c r="CE103" s="193"/>
      <c r="CF103" s="193"/>
      <c r="CG103" s="193"/>
      <c r="CH103" s="193"/>
      <c r="CI103" s="193"/>
      <c r="CJ103" s="193"/>
      <c r="CK103" s="193"/>
      <c r="CL103" s="193"/>
      <c r="CM103" s="193"/>
      <c r="CN103" s="193"/>
      <c r="CO103" s="193"/>
      <c r="CP103" s="193"/>
      <c r="CQ103" s="193"/>
      <c r="CR103" s="193"/>
      <c r="CS103" s="193"/>
      <c r="CT103" s="193"/>
      <c r="CU103" s="193"/>
      <c r="CV103" s="193"/>
      <c r="CW103" s="193"/>
      <c r="CX103" s="193"/>
      <c r="CY103" s="193"/>
      <c r="CZ103" s="193"/>
      <c r="DA103" s="193"/>
      <c r="DB103" s="193"/>
      <c r="DC103" s="193"/>
      <c r="DD103" s="193"/>
      <c r="DE103" s="193"/>
      <c r="DF103" s="193"/>
      <c r="DG103" s="193"/>
      <c r="DH103" s="193"/>
      <c r="DI103" s="193"/>
      <c r="DJ103" s="193"/>
      <c r="DK103" s="193"/>
      <c r="DL103" s="193"/>
      <c r="DM103" s="193"/>
      <c r="DN103" s="193"/>
      <c r="DO103" s="193"/>
      <c r="DP103" s="193"/>
      <c r="DQ103" s="193"/>
      <c r="DR103" s="193"/>
      <c r="DS103" s="193"/>
      <c r="DT103" s="193"/>
      <c r="DU103" s="193"/>
      <c r="DV103" s="193"/>
      <c r="DW103" s="193"/>
      <c r="DX103" s="193"/>
      <c r="DY103" s="193"/>
      <c r="DZ103" s="193"/>
      <c r="EA103" s="193"/>
      <c r="EB103" s="193"/>
      <c r="EC103" s="52"/>
      <c r="ED103" s="52"/>
      <c r="EE103" s="52"/>
      <c r="EF103" s="52"/>
      <c r="EG103" s="10"/>
    </row>
    <row r="104" spans="1:138" x14ac:dyDescent="0.25">
      <c r="A104" s="10"/>
      <c r="B104" s="10"/>
      <c r="C104" s="10"/>
      <c r="D104" s="10"/>
      <c r="E104" s="10"/>
      <c r="F104" s="10"/>
      <c r="G104" s="10"/>
      <c r="H104" s="10"/>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10"/>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10"/>
    </row>
    <row r="105" spans="1:138"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row>
    <row r="106" spans="1:138" s="14" customFormat="1" ht="28.5" customHeight="1" x14ac:dyDescent="0.3">
      <c r="A106" s="12"/>
      <c r="B106" s="12"/>
      <c r="C106" s="12"/>
      <c r="D106" s="12"/>
      <c r="E106" s="12"/>
      <c r="F106" s="12"/>
      <c r="G106" s="12"/>
      <c r="H106" s="12"/>
      <c r="I106" s="12"/>
      <c r="K106" s="190" t="e">
        <f ca="1">$DR$40 &amp; ""</f>
        <v>#N/A</v>
      </c>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87" t="str">
        <f ca="1">IF(DR37="",IF(OR(LEFT(DR42,3)="CAT", DR42 = "CONSA"),DR42,""),DR37 &amp; " (Override)") &amp; ""</f>
        <v>CONSA</v>
      </c>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c r="BC106" s="187"/>
      <c r="BD106" s="187"/>
      <c r="BE106" s="187"/>
      <c r="BF106" s="187"/>
      <c r="BG106" s="187"/>
      <c r="BH106" s="189" t="str">
        <f>"$ " &amp; DC46 &amp; IF( IFERROR(DC47 + 0,9) = 0, "", ",  " &amp; DC47 &amp; IF(IFERROR(DC48 + 0,9) = 0, "", ",  " &amp; DC48 &amp; IF(IFERROR(DC49+0,9)=0,"",",  " &amp; DC49)  &amp; IF(IFERROR(DC50+0,9)=0,"",",  " &amp; DC50)))</f>
        <v xml:space="preserve">$ </v>
      </c>
      <c r="BI106" s="189"/>
      <c r="BJ106" s="189"/>
      <c r="BK106" s="189"/>
      <c r="BL106" s="189"/>
      <c r="BM106" s="189"/>
      <c r="BN106" s="189"/>
      <c r="BO106" s="189"/>
      <c r="BP106" s="189"/>
      <c r="BQ106" s="189"/>
      <c r="BR106" s="189"/>
      <c r="BS106" s="189"/>
      <c r="BT106" s="189"/>
      <c r="BU106" s="189"/>
      <c r="BV106" s="189"/>
      <c r="BW106" s="189"/>
      <c r="BX106" s="189"/>
      <c r="BY106" s="189"/>
      <c r="BZ106" s="189"/>
      <c r="CA106" s="189"/>
      <c r="CB106" s="188">
        <f ca="1">IF(Date_Override &amp; ""&gt;"","(" &amp; TEXT(Date_Override, "yyyy/mm/dd") &amp; ")",TODAY())</f>
        <v>45280</v>
      </c>
      <c r="CC106" s="188"/>
      <c r="CD106" s="188"/>
      <c r="CE106" s="188"/>
      <c r="CF106" s="188"/>
      <c r="CG106" s="188"/>
      <c r="CH106" s="188"/>
      <c r="CI106" s="188"/>
      <c r="CJ106" s="188"/>
      <c r="CK106" s="188"/>
      <c r="CL106" s="188"/>
      <c r="CM106" s="188"/>
      <c r="CN106" s="188"/>
      <c r="CO106" s="188"/>
      <c r="CP106" s="188"/>
      <c r="CQ106" s="188"/>
      <c r="CR106" s="188"/>
      <c r="CS106" s="188"/>
      <c r="CT106" s="188"/>
      <c r="CU106" s="188"/>
      <c r="CV106" s="188"/>
      <c r="CW106" s="187"/>
      <c r="CX106" s="187"/>
      <c r="CY106" s="187"/>
      <c r="CZ106" s="187"/>
      <c r="DA106" s="187"/>
      <c r="DB106" s="187"/>
      <c r="DC106" s="187"/>
      <c r="DD106" s="187"/>
      <c r="DE106" s="187"/>
      <c r="DF106" s="187"/>
      <c r="DG106" s="187"/>
      <c r="DH106" s="187"/>
      <c r="DI106" s="187"/>
      <c r="DJ106" s="187"/>
      <c r="DK106" s="187"/>
      <c r="DL106" s="187"/>
      <c r="DM106" s="187"/>
      <c r="DN106" s="187"/>
      <c r="DO106" s="187"/>
      <c r="DP106" s="187"/>
      <c r="DQ106" s="187"/>
      <c r="DR106" s="187"/>
      <c r="DS106" s="187"/>
      <c r="DT106" s="187"/>
      <c r="DU106" s="187"/>
      <c r="DV106" s="187"/>
      <c r="DW106" s="187"/>
      <c r="DX106" s="187"/>
      <c r="DY106" s="187"/>
      <c r="DZ106" s="187"/>
      <c r="EA106" s="187"/>
      <c r="EB106" s="187"/>
      <c r="EC106" s="50"/>
      <c r="ED106" s="50"/>
      <c r="EE106" s="50"/>
      <c r="EF106" s="50"/>
      <c r="EG106" s="12"/>
      <c r="EH106" s="14" t="s">
        <v>311</v>
      </c>
    </row>
    <row r="107" spans="1:138" ht="18"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row>
  </sheetData>
  <sheetProtection algorithmName="SHA-512" hashValue="l5lMF3VectjN+d5+aDTEfm/pFwUIzEAEf7YtYUg2Q1Vt5kX7yF3mvrund+pE9tv/noZmV4JxF9oX1ZeIDFGCLw==" saltValue="cRKjVNw16uSwQpWo10i+yA==" spinCount="100000" sheet="1" formatCells="0" formatColumns="0" formatRows="0" insertColumns="0" insertRows="0" insertHyperlinks="0" autoFilter="0"/>
  <mergeCells count="319">
    <mergeCell ref="EH8:EJ12"/>
    <mergeCell ref="I9:AU9"/>
    <mergeCell ref="AV9:CF9"/>
    <mergeCell ref="CG9:DQ9"/>
    <mergeCell ref="AV57:CZ58"/>
    <mergeCell ref="I54:EG56"/>
    <mergeCell ref="K50:AU50"/>
    <mergeCell ref="EH42:FT43"/>
    <mergeCell ref="EH37:GB41"/>
    <mergeCell ref="I40:CV40"/>
    <mergeCell ref="DR46:EG50"/>
    <mergeCell ref="CR50:DB50"/>
    <mergeCell ref="AV48:BH48"/>
    <mergeCell ref="AV49:BH49"/>
    <mergeCell ref="AV50:BH50"/>
    <mergeCell ref="DR52:EG53"/>
    <mergeCell ref="BL36:CF36"/>
    <mergeCell ref="CG36:CV36"/>
    <mergeCell ref="CW36:DQ36"/>
    <mergeCell ref="AV35:BK35"/>
    <mergeCell ref="CG34:CV34"/>
    <mergeCell ref="DA52:DQ53"/>
    <mergeCell ref="DN50:DQ50"/>
    <mergeCell ref="CW34:DE34"/>
    <mergeCell ref="I8:AU8"/>
    <mergeCell ref="BL37:CF37"/>
    <mergeCell ref="CG37:CV37"/>
    <mergeCell ref="CW37:DQ37"/>
    <mergeCell ref="I37:AU37"/>
    <mergeCell ref="DR15:EG15"/>
    <mergeCell ref="I36:AU36"/>
    <mergeCell ref="CW28:DE28"/>
    <mergeCell ref="CW21:DQ21"/>
    <mergeCell ref="BL26:CF26"/>
    <mergeCell ref="CW29:DE29"/>
    <mergeCell ref="DF29:DI29"/>
    <mergeCell ref="I24:AU24"/>
    <mergeCell ref="AV24:BK24"/>
    <mergeCell ref="AV26:BK26"/>
    <mergeCell ref="I29:AU29"/>
    <mergeCell ref="I26:AU26"/>
    <mergeCell ref="I20:AU20"/>
    <mergeCell ref="DJ34:DQ34"/>
    <mergeCell ref="DI35:DQ35"/>
    <mergeCell ref="BL35:CF35"/>
    <mergeCell ref="CG35:CV35"/>
    <mergeCell ref="CZ35:DH35"/>
    <mergeCell ref="AV36:BK36"/>
    <mergeCell ref="CW40:DQ40"/>
    <mergeCell ref="AV44:BH45"/>
    <mergeCell ref="DR59:EG60"/>
    <mergeCell ref="DR57:EG58"/>
    <mergeCell ref="DA61:DQ62"/>
    <mergeCell ref="DR61:EG62"/>
    <mergeCell ref="I51:AC51"/>
    <mergeCell ref="DC49:DM49"/>
    <mergeCell ref="K49:AU49"/>
    <mergeCell ref="DC46:DM46"/>
    <mergeCell ref="I57:AU58"/>
    <mergeCell ref="DA57:DQ58"/>
    <mergeCell ref="DR51:EG51"/>
    <mergeCell ref="DA51:DQ51"/>
    <mergeCell ref="I48:J48"/>
    <mergeCell ref="I49:J49"/>
    <mergeCell ref="DC48:DM48"/>
    <mergeCell ref="DC50:DM50"/>
    <mergeCell ref="CR48:DB48"/>
    <mergeCell ref="BI48:BQ48"/>
    <mergeCell ref="BI49:BQ49"/>
    <mergeCell ref="CR49:DB49"/>
    <mergeCell ref="DA59:DQ60"/>
    <mergeCell ref="I41:DQ41"/>
    <mergeCell ref="AV61:CZ62"/>
    <mergeCell ref="BI50:BQ50"/>
    <mergeCell ref="I44:J44"/>
    <mergeCell ref="BI47:BQ47"/>
    <mergeCell ref="BR44:CQ45"/>
    <mergeCell ref="BR46:CQ46"/>
    <mergeCell ref="DC44:DM45"/>
    <mergeCell ref="CR44:DB45"/>
    <mergeCell ref="CR47:DB47"/>
    <mergeCell ref="BI44:BQ45"/>
    <mergeCell ref="I47:J47"/>
    <mergeCell ref="BI46:BQ46"/>
    <mergeCell ref="K46:AU46"/>
    <mergeCell ref="I52:AC53"/>
    <mergeCell ref="I61:AU62"/>
    <mergeCell ref="CW38:DQ38"/>
    <mergeCell ref="DN48:DQ48"/>
    <mergeCell ref="DN47:DQ47"/>
    <mergeCell ref="DN44:DQ45"/>
    <mergeCell ref="DN46:DQ46"/>
    <mergeCell ref="I59:AU60"/>
    <mergeCell ref="DN49:DQ49"/>
    <mergeCell ref="AV59:CZ60"/>
    <mergeCell ref="AV47:BH47"/>
    <mergeCell ref="AV46:BH46"/>
    <mergeCell ref="I45:J45"/>
    <mergeCell ref="BR47:CQ47"/>
    <mergeCell ref="BR48:CQ48"/>
    <mergeCell ref="BR49:CQ49"/>
    <mergeCell ref="BR50:CQ50"/>
    <mergeCell ref="AD51:CZ51"/>
    <mergeCell ref="I38:AU38"/>
    <mergeCell ref="I42:AD42"/>
    <mergeCell ref="DC47:DM47"/>
    <mergeCell ref="CR46:DB46"/>
    <mergeCell ref="AE42:DQ42"/>
    <mergeCell ref="I46:J46"/>
    <mergeCell ref="AD52:CZ53"/>
    <mergeCell ref="AV38:CV38"/>
    <mergeCell ref="DR39:EG39"/>
    <mergeCell ref="DR38:EG38"/>
    <mergeCell ref="CW33:DQ33"/>
    <mergeCell ref="CG24:CV24"/>
    <mergeCell ref="CW26:DQ26"/>
    <mergeCell ref="CW25:DQ25"/>
    <mergeCell ref="I50:J50"/>
    <mergeCell ref="AV37:BK37"/>
    <mergeCell ref="I43:EG43"/>
    <mergeCell ref="CW39:DQ39"/>
    <mergeCell ref="I39:CV39"/>
    <mergeCell ref="DR42:EG42"/>
    <mergeCell ref="DR40:EG40"/>
    <mergeCell ref="DR44:EG45"/>
    <mergeCell ref="K44:AU45"/>
    <mergeCell ref="DR41:EG41"/>
    <mergeCell ref="K47:AU47"/>
    <mergeCell ref="K48:AU48"/>
    <mergeCell ref="BL25:CF25"/>
    <mergeCell ref="DR37:EG37"/>
    <mergeCell ref="DR36:EG36"/>
    <mergeCell ref="I32:AU32"/>
    <mergeCell ref="CW32:DQ32"/>
    <mergeCell ref="BL30:CF30"/>
    <mergeCell ref="CG26:CV26"/>
    <mergeCell ref="AV33:BK33"/>
    <mergeCell ref="AV34:BK34"/>
    <mergeCell ref="I33:AU33"/>
    <mergeCell ref="CG23:CV23"/>
    <mergeCell ref="CW24:DQ24"/>
    <mergeCell ref="DF28:DI28"/>
    <mergeCell ref="DJ28:DQ28"/>
    <mergeCell ref="I27:EG27"/>
    <mergeCell ref="DR28:EG28"/>
    <mergeCell ref="CG25:CV25"/>
    <mergeCell ref="DR25:EG25"/>
    <mergeCell ref="AV23:BK23"/>
    <mergeCell ref="BL23:CF23"/>
    <mergeCell ref="AV29:BK29"/>
    <mergeCell ref="BL33:CF33"/>
    <mergeCell ref="BL34:CF34"/>
    <mergeCell ref="DF30:DI30"/>
    <mergeCell ref="DJ30:DQ30"/>
    <mergeCell ref="CW31:DE31"/>
    <mergeCell ref="DF31:DI31"/>
    <mergeCell ref="DF34:DI34"/>
    <mergeCell ref="DR31:EG31"/>
    <mergeCell ref="DJ31:DQ31"/>
    <mergeCell ref="CG30:CV30"/>
    <mergeCell ref="CG31:CV31"/>
    <mergeCell ref="I35:AU35"/>
    <mergeCell ref="I30:AU30"/>
    <mergeCell ref="CG32:CV32"/>
    <mergeCell ref="BL29:CF29"/>
    <mergeCell ref="BL32:CF32"/>
    <mergeCell ref="DR35:EG35"/>
    <mergeCell ref="DR33:EG33"/>
    <mergeCell ref="CG33:CV33"/>
    <mergeCell ref="DR29:EG29"/>
    <mergeCell ref="I34:AU34"/>
    <mergeCell ref="CW35:CY35"/>
    <mergeCell ref="DR18:EG18"/>
    <mergeCell ref="DR19:EG19"/>
    <mergeCell ref="DR20:EG20"/>
    <mergeCell ref="DR21:EG21"/>
    <mergeCell ref="BL17:CF17"/>
    <mergeCell ref="CG21:CV21"/>
    <mergeCell ref="CW19:DQ19"/>
    <mergeCell ref="CG22:CV22"/>
    <mergeCell ref="BL21:CF21"/>
    <mergeCell ref="BL22:CF22"/>
    <mergeCell ref="AV21:BK21"/>
    <mergeCell ref="AV22:BK22"/>
    <mergeCell ref="AV30:BK30"/>
    <mergeCell ref="I31:AU31"/>
    <mergeCell ref="AV31:BK31"/>
    <mergeCell ref="AV32:BK32"/>
    <mergeCell ref="BL31:CF31"/>
    <mergeCell ref="DR34:EG34"/>
    <mergeCell ref="I25:AU25"/>
    <mergeCell ref="BL24:CF24"/>
    <mergeCell ref="DR26:EG26"/>
    <mergeCell ref="DR32:EG32"/>
    <mergeCell ref="DR24:EG24"/>
    <mergeCell ref="DR23:EG23"/>
    <mergeCell ref="I23:AU23"/>
    <mergeCell ref="AV25:BK25"/>
    <mergeCell ref="BL28:CF28"/>
    <mergeCell ref="I28:AU28"/>
    <mergeCell ref="AV28:BK28"/>
    <mergeCell ref="CW23:DQ23"/>
    <mergeCell ref="CG28:CV28"/>
    <mergeCell ref="DR30:EG30"/>
    <mergeCell ref="CW30:DE30"/>
    <mergeCell ref="CG29:CV29"/>
    <mergeCell ref="I5:AU5"/>
    <mergeCell ref="I4:AU4"/>
    <mergeCell ref="I2:AU2"/>
    <mergeCell ref="I15:AU15"/>
    <mergeCell ref="DR22:EG22"/>
    <mergeCell ref="I17:AU17"/>
    <mergeCell ref="AV3:CF3"/>
    <mergeCell ref="CG2:DQ2"/>
    <mergeCell ref="AV2:CF2"/>
    <mergeCell ref="CG3:DQ3"/>
    <mergeCell ref="I10:AU10"/>
    <mergeCell ref="I18:AU18"/>
    <mergeCell ref="AV4:CF4"/>
    <mergeCell ref="AV5:CF5"/>
    <mergeCell ref="CG18:CV18"/>
    <mergeCell ref="CG19:CV19"/>
    <mergeCell ref="AV17:BK17"/>
    <mergeCell ref="AV19:BK19"/>
    <mergeCell ref="CW17:DQ17"/>
    <mergeCell ref="BL18:CF18"/>
    <mergeCell ref="BL19:CF19"/>
    <mergeCell ref="CW18:DQ18"/>
    <mergeCell ref="I21:AU21"/>
    <mergeCell ref="I22:AU22"/>
    <mergeCell ref="I1:EG1"/>
    <mergeCell ref="CM83:DO83"/>
    <mergeCell ref="BX82:CK82"/>
    <mergeCell ref="BX83:CK83"/>
    <mergeCell ref="CM85:DO85"/>
    <mergeCell ref="CM86:DO86"/>
    <mergeCell ref="M82:AZ82"/>
    <mergeCell ref="BA82:BS82"/>
    <mergeCell ref="BA83:BS83"/>
    <mergeCell ref="BA84:BS84"/>
    <mergeCell ref="BA85:BS85"/>
    <mergeCell ref="BA86:BS86"/>
    <mergeCell ref="BX85:CK85"/>
    <mergeCell ref="BX86:CK86"/>
    <mergeCell ref="BX84:CK84"/>
    <mergeCell ref="CM84:DO84"/>
    <mergeCell ref="M83:AZ83"/>
    <mergeCell ref="M84:AZ84"/>
    <mergeCell ref="M85:AZ85"/>
    <mergeCell ref="M86:AZ86"/>
    <mergeCell ref="CM82:DO82"/>
    <mergeCell ref="CW22:DQ22"/>
    <mergeCell ref="CW20:DQ20"/>
    <mergeCell ref="DJ29:DQ29"/>
    <mergeCell ref="AG106:BG106"/>
    <mergeCell ref="CW106:EB106"/>
    <mergeCell ref="CB106:CV106"/>
    <mergeCell ref="BH106:CA106"/>
    <mergeCell ref="K106:AF106"/>
    <mergeCell ref="CF93:CZ93"/>
    <mergeCell ref="DA93:EA93"/>
    <mergeCell ref="CI96:EA96"/>
    <mergeCell ref="K98:CH98"/>
    <mergeCell ref="CI98:EB98"/>
    <mergeCell ref="K93:X93"/>
    <mergeCell ref="K96:CH96"/>
    <mergeCell ref="Y93:BB93"/>
    <mergeCell ref="BC93:CE93"/>
    <mergeCell ref="K103:BD103"/>
    <mergeCell ref="CX103:EB103"/>
    <mergeCell ref="BE103:CW103"/>
    <mergeCell ref="CG8:DQ8"/>
    <mergeCell ref="I14:DQ14"/>
    <mergeCell ref="I19:AU19"/>
    <mergeCell ref="BL15:CF15"/>
    <mergeCell ref="CW15:DQ15"/>
    <mergeCell ref="AV15:BK15"/>
    <mergeCell ref="BL20:CF20"/>
    <mergeCell ref="DR16:EG16"/>
    <mergeCell ref="DR14:EG14"/>
    <mergeCell ref="AV20:BK20"/>
    <mergeCell ref="CG20:CV20"/>
    <mergeCell ref="CG10:DQ10"/>
    <mergeCell ref="AV18:BK18"/>
    <mergeCell ref="CG17:CV17"/>
    <mergeCell ref="I16:AU16"/>
    <mergeCell ref="AV16:BK16"/>
    <mergeCell ref="BL16:CF16"/>
    <mergeCell ref="CG16:CV16"/>
    <mergeCell ref="CW16:DQ16"/>
    <mergeCell ref="I13:AU13"/>
    <mergeCell ref="AV13:CF13"/>
    <mergeCell ref="CG13:DQ13"/>
    <mergeCell ref="CG15:CV15"/>
    <mergeCell ref="DR17:EG17"/>
    <mergeCell ref="EH3:EO7"/>
    <mergeCell ref="DR2:EG2"/>
    <mergeCell ref="DR3:EG3"/>
    <mergeCell ref="DR4:EG4"/>
    <mergeCell ref="DR5:EG5"/>
    <mergeCell ref="DR6:EG7"/>
    <mergeCell ref="I12:AU12"/>
    <mergeCell ref="AV12:CF12"/>
    <mergeCell ref="CG12:DQ12"/>
    <mergeCell ref="AV11:CF11"/>
    <mergeCell ref="CG11:DQ11"/>
    <mergeCell ref="I11:AU11"/>
    <mergeCell ref="AV7:CF7"/>
    <mergeCell ref="CG7:DQ7"/>
    <mergeCell ref="AV6:CF6"/>
    <mergeCell ref="CG6:DQ6"/>
    <mergeCell ref="I7:AU7"/>
    <mergeCell ref="I6:AU6"/>
    <mergeCell ref="AV10:CF10"/>
    <mergeCell ref="CG4:DQ4"/>
    <mergeCell ref="CG5:DQ5"/>
    <mergeCell ref="DR8:EG13"/>
    <mergeCell ref="I3:AU3"/>
    <mergeCell ref="AV8:CF8"/>
  </mergeCells>
  <conditionalFormatting sqref="AV46:BH50">
    <cfRule type="expression" dxfId="57" priority="49">
      <formula>AV46=MAX($AV$46:$AV$50)</formula>
    </cfRule>
  </conditionalFormatting>
  <conditionalFormatting sqref="AK97">
    <cfRule type="expression" dxfId="56" priority="45">
      <formula>$AK$97&gt;""</formula>
    </cfRule>
  </conditionalFormatting>
  <conditionalFormatting sqref="AE42:DQ42">
    <cfRule type="expression" dxfId="55" priority="44">
      <formula>AE42&gt;""</formula>
    </cfRule>
  </conditionalFormatting>
  <conditionalFormatting sqref="AV17:BK18 DR42">
    <cfRule type="expression" dxfId="54" priority="40">
      <formula>IFERROR(FIND("Error",AV17),0)&gt;0</formula>
    </cfRule>
  </conditionalFormatting>
  <conditionalFormatting sqref="CG18:CV18">
    <cfRule type="expression" dxfId="53" priority="37">
      <formula>IFERROR(FIND("date",CG18),0)&gt;0</formula>
    </cfRule>
  </conditionalFormatting>
  <conditionalFormatting sqref="I37 AV37:DR37">
    <cfRule type="expression" dxfId="52" priority="33">
      <formula>I37 &amp;""&lt;&gt;""</formula>
    </cfRule>
  </conditionalFormatting>
  <conditionalFormatting sqref="CS48:DM49">
    <cfRule type="expression" dxfId="51" priority="76">
      <formula>$CS48&gt;""</formula>
    </cfRule>
  </conditionalFormatting>
  <conditionalFormatting sqref="I40">
    <cfRule type="expression" dxfId="50" priority="93">
      <formula>$I$40 &amp;""&gt;""</formula>
    </cfRule>
  </conditionalFormatting>
  <conditionalFormatting sqref="DR40">
    <cfRule type="expression" dxfId="49" priority="31">
      <formula>IFERROR(FIND("date",DR40),0)&gt;0</formula>
    </cfRule>
  </conditionalFormatting>
  <conditionalFormatting sqref="CW39">
    <cfRule type="expression" dxfId="48" priority="28">
      <formula>IFERROR(FIND("date",CW39),0)&gt;0</formula>
    </cfRule>
  </conditionalFormatting>
  <conditionalFormatting sqref="CG17:CV17">
    <cfRule type="expression" dxfId="47" priority="19">
      <formula>IFERROR(FIND("date",CG17),0)&gt;0</formula>
    </cfRule>
  </conditionalFormatting>
  <conditionalFormatting sqref="CG6:DQ7">
    <cfRule type="expression" dxfId="46" priority="326">
      <formula>$GC$40 = "Invalid"</formula>
    </cfRule>
  </conditionalFormatting>
  <conditionalFormatting sqref="AV8:DQ8">
    <cfRule type="expression" dxfId="45" priority="327">
      <formula>AND($GC$11 &gt; 299, $GD$11 &gt; 299, $GC$11 &lt; $GD$11)</formula>
    </cfRule>
  </conditionalFormatting>
  <conditionalFormatting sqref="CG10:DQ10">
    <cfRule type="expression" dxfId="44" priority="329">
      <formula>AND(CG6 &lt;&gt; "", UPPER($GD$29) &lt;&gt; "X", $GD$15 &lt;&gt; "Single")</formula>
    </cfRule>
  </conditionalFormatting>
  <conditionalFormatting sqref="CG8:DQ8">
    <cfRule type="expression" dxfId="43" priority="12">
      <formula>IFERROR(MATCH($CG$8 &amp; "", SpouseList1, 0), 0) = 0</formula>
    </cfRule>
    <cfRule type="expression" dxfId="42" priority="22">
      <formula>IFERROR(MATCH($CG$8 &amp; "", SpouseList1, 0), 0) = 0</formula>
    </cfRule>
  </conditionalFormatting>
  <conditionalFormatting sqref="DR41:EG41">
    <cfRule type="expression" dxfId="41" priority="13">
      <formula>IFERROR(FIND("Incomplete",$DR$41),0)&gt;0</formula>
    </cfRule>
  </conditionalFormatting>
  <conditionalFormatting sqref="AV10:CF10">
    <cfRule type="expression" dxfId="40" priority="11">
      <formula>AND($AV$6 &gt; "", $GC$29 &lt;&gt; "X")</formula>
    </cfRule>
  </conditionalFormatting>
  <conditionalFormatting sqref="CG3:DQ3">
    <cfRule type="expression" dxfId="39" priority="10">
      <formula>AND($CG$3 = "", $CG$6 &lt;&gt; "No Spouse/Partner", $CG$6 &lt;&gt; "")</formula>
    </cfRule>
  </conditionalFormatting>
  <conditionalFormatting sqref="AV15:BK15 AV16">
    <cfRule type="expression" dxfId="38" priority="9">
      <formula>AND($AV$15 + 0 = 0, $GC$6 = "Mil")</formula>
    </cfRule>
  </conditionalFormatting>
  <conditionalFormatting sqref="CG15:CV15 CG16">
    <cfRule type="expression" dxfId="37" priority="8">
      <formula>AND($CG$15 + 0 = 0, $GD$6 = "Mil")</formula>
    </cfRule>
  </conditionalFormatting>
  <conditionalFormatting sqref="DC46:DM50">
    <cfRule type="expression" dxfId="36" priority="3">
      <formula>AND(K46 &amp; "" &gt; "", DC46 &amp; "" &lt;&gt; "", IFERROR(DC46 + 0, 0) = 0)</formula>
    </cfRule>
  </conditionalFormatting>
  <conditionalFormatting sqref="AV9:DQ9">
    <cfRule type="expression" dxfId="35" priority="1">
      <formula>AND(OR(AV$6 = "DoD Civilian", AV$6 = "CYS"), AV$9 = "")</formula>
    </cfRule>
  </conditionalFormatting>
  <dataValidations disablePrompts="1" count="15">
    <dataValidation type="list" allowBlank="1" showInputMessage="1" showErrorMessage="1" sqref="BR46:BR50" xr:uid="{00000000-0002-0000-0100-000000000000}">
      <formula1>CareType</formula1>
    </dataValidation>
    <dataValidation allowBlank="1" showErrorMessage="1" promptTitle="Sponsor bi-weekly income" prompt="APF/NAF civilian, etc._x000a_Enter LQA here also._x000a_You can do this as:_x000a_    =1000+100_x000a_and Excel will do the calculation for you." sqref="AV29:BK29" xr:uid="{00000000-0002-0000-0100-000001000000}"/>
    <dataValidation allowBlank="1" showErrorMessage="1" promptTitle="Spouse Bi-weekly income" prompt="APF/NAF civilian, etc._x000a_Enter LQA here also._x000a_You can do this as:_x000a_    =1000+100_x000a_and Excel will do the calculation for you." sqref="CG29:CV29" xr:uid="{00000000-0002-0000-0100-000002000000}"/>
    <dataValidation allowBlank="1" showErrorMessage="1" prompt="Use next cell to override, if necessary." sqref="DR42:EG42" xr:uid="{00000000-0002-0000-0100-000003000000}"/>
    <dataValidation type="list" allowBlank="1" showInputMessage="1" sqref="DI35:DQ35" xr:uid="{00000000-0002-0000-0100-000004000000}">
      <formula1>"hrs/yr,wks/yr,/yr"</formula1>
    </dataValidation>
    <dataValidation type="list" allowBlank="1" showInputMessage="1" sqref="CZ35:DH35" xr:uid="{00000000-0002-0000-0100-000005000000}">
      <formula1>"21,2087"</formula1>
    </dataValidation>
    <dataValidation type="list" allowBlank="1" showInputMessage="1" showErrorMessage="1" sqref="CR46:DB50" xr:uid="{00000000-0002-0000-0100-000006000000}">
      <formula1>Vacation</formula1>
    </dataValidation>
    <dataValidation type="list" allowBlank="1" showInputMessage="1" showErrorMessage="1" sqref="AV11 CG11" xr:uid="{00000000-0002-0000-0100-000007000000}">
      <formula1>Years_Of_Service</formula1>
    </dataValidation>
    <dataValidation type="list" allowBlank="1" showInputMessage="1" showErrorMessage="1" sqref="AV10:DQ10" xr:uid="{00000000-0002-0000-0100-000008000000}">
      <formula1>Job_Details</formula1>
    </dataValidation>
    <dataValidation type="list" allowBlank="1" showInputMessage="1" showErrorMessage="1" sqref="CG8:DQ8" xr:uid="{00000000-0002-0000-0100-000009000000}">
      <formula1>SpouseList1</formula1>
    </dataValidation>
    <dataValidation type="list" allowBlank="1" showInputMessage="1" showErrorMessage="1" sqref="AV8:CF8" xr:uid="{00000000-0002-0000-0100-00000A000000}">
      <formula1>SponsorList1</formula1>
    </dataValidation>
    <dataValidation type="list" allowBlank="1" showInputMessage="1" showErrorMessage="1" sqref="AV7:CF7" xr:uid="{00000000-0002-0000-0100-00000B000000}">
      <formula1>SponsorList</formula1>
    </dataValidation>
    <dataValidation type="list" allowBlank="1" showInputMessage="1" showErrorMessage="1" sqref="CG7:DQ7" xr:uid="{00000000-0002-0000-0100-00000C000000}">
      <formula1>SpouseList</formula1>
    </dataValidation>
    <dataValidation type="list" allowBlank="1" showInputMessage="1" showErrorMessage="1" sqref="GC8:GD10" xr:uid="{00000000-0002-0000-0100-00000D000000}">
      <formula1>"YES, NO"</formula1>
    </dataValidation>
    <dataValidation type="list" allowBlank="1" showInputMessage="1" showErrorMessage="1" sqref="AV13:DQ13" xr:uid="{00000000-0002-0000-0100-00000E000000}">
      <formula1>"No,Yes"</formula1>
    </dataValidation>
  </dataValidations>
  <pageMargins left="0.25" right="0.25" top="0.25" bottom="0.25" header="0.3" footer="0.3"/>
  <pageSetup scale="91" fitToHeight="0" orientation="portrait" r:id="rId1"/>
  <rowBreaks count="2" manualBreakCount="2">
    <brk id="62" min="8" max="136" man="1"/>
    <brk id="107" min="8" max="136"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8" id="{2043CC02-525D-4D38-A242-1D1807266FFA}">
            <xm:f>RIGHT(Lists!#REF!,4) &amp; "" &lt;&gt; YEAR(TODAY()) &amp; ""</xm:f>
            <x14:dxf>
              <font>
                <b/>
                <i val="0"/>
                <color rgb="FFFFFF00"/>
              </font>
              <fill>
                <patternFill>
                  <bgColor rgb="FFFF0000"/>
                </patternFill>
              </fill>
            </x14:dxf>
          </x14:cfRule>
          <xm:sqref>AV18:BK18 DR18:EG18</xm:sqref>
        </x14:conditionalFormatting>
        <x14:conditionalFormatting xmlns:xm="http://schemas.microsoft.com/office/excel/2006/main">
          <x14:cfRule type="expression" priority="38" id="{AD9A5997-3C07-4548-A6EF-D64ED194D87F}">
            <xm:f>RIGHT(Lists!#REF!,4) &amp; "" &lt;&gt; YEAR(TODAY()) &amp; ""</xm:f>
            <x14:dxf>
              <font>
                <b/>
                <i val="0"/>
                <color rgb="FFFFFF00"/>
              </font>
              <fill>
                <patternFill>
                  <bgColor rgb="FFFF0000"/>
                </patternFill>
              </fill>
            </x14:dxf>
          </x14:cfRule>
          <xm:sqref>CG18:CV18</xm:sqref>
        </x14:conditionalFormatting>
        <x14:conditionalFormatting xmlns:xm="http://schemas.microsoft.com/office/excel/2006/main">
          <x14:cfRule type="expression" priority="95" id="{1E5CADB8-5730-4A75-A748-0191C84D44A7}">
            <xm:f>$I$40=Lists!$AR$9</xm:f>
            <x14:dxf>
              <font>
                <b/>
                <i val="0"/>
                <color rgb="FFFFFF00"/>
              </font>
              <fill>
                <patternFill>
                  <bgColor rgb="FFFF0000"/>
                </patternFill>
              </fill>
            </x14:dxf>
          </x14:cfRule>
          <xm:sqref>I40</xm:sqref>
        </x14:conditionalFormatting>
        <x14:conditionalFormatting xmlns:xm="http://schemas.microsoft.com/office/excel/2006/main">
          <x14:cfRule type="expression" priority="23" id="{9AE846BA-F78F-46DD-B666-89B8DE7C220A}">
            <xm:f>IF(AND(MAX('Status, Branch'!$M$3:$M$44) = 1, 'Status, Branch'!$N$3 = ""), FALSE, IFERROR(MATCH($CG$7, 'Status, Branch'!$N$3:$N$44, 0), 0) = 0)</xm:f>
            <x14:dxf>
              <font>
                <b/>
                <i/>
                <color rgb="FFFFFF00"/>
              </font>
              <fill>
                <patternFill>
                  <bgColor rgb="FFFF0000"/>
                </patternFill>
              </fill>
            </x14:dxf>
          </x14:cfRule>
          <xm:sqref>CG7:DQ7</xm:sqref>
        </x14:conditionalFormatting>
        <x14:conditionalFormatting xmlns:xm="http://schemas.microsoft.com/office/excel/2006/main">
          <x14:cfRule type="expression" priority="25" id="{24E02EAD-E094-46AF-9200-6B4EDA755EF0}">
            <xm:f>IF(AND(MAX('Status, Branch'!$J$3:$J$44) = 1, 'Status, Branch'!$K$3 = ""), FALSE, IFERROR(MATCH($AV$7, 'Status, Branch'!$K$3:$K$44, 0), 0) = 0)</xm:f>
            <x14:dxf>
              <font>
                <b/>
                <i/>
                <color rgb="FFFFFF00"/>
              </font>
              <fill>
                <patternFill>
                  <bgColor rgb="FFFF0000"/>
                </patternFill>
              </fill>
            </x14:dxf>
          </x14:cfRule>
          <xm:sqref>AV7:CF7</xm:sqref>
        </x14:conditionalFormatting>
        <x14:conditionalFormatting xmlns:xm="http://schemas.microsoft.com/office/excel/2006/main">
          <x14:cfRule type="expression" priority="24" id="{B11FFE81-ECBC-499D-B84B-9BBF970F45BE}">
            <xm:f>IFERROR(MATCH($AV$8, 'Status, Branch, Grade'!$S$4:$S$563, 0), 0) = 0</xm:f>
            <x14:dxf>
              <font>
                <b/>
                <i/>
                <color rgb="FFFFFF00"/>
              </font>
              <fill>
                <patternFill>
                  <bgColor rgb="FFFF0000"/>
                </patternFill>
              </fill>
            </x14:dxf>
          </x14:cfRule>
          <xm:sqref>AV8:CF8</xm:sqref>
        </x14:conditionalFormatting>
        <x14:conditionalFormatting xmlns:xm="http://schemas.microsoft.com/office/excel/2006/main">
          <x14:cfRule type="expression" priority="18" id="{5CACC2F6-16A9-4F4A-85A1-FA4379200DA7}">
            <xm:f>RIGHT(Lists!#REF!,4) &amp; "" &lt;&gt; YEAR(TODAY()) &amp; ""</xm:f>
            <x14:dxf>
              <font>
                <b/>
                <i val="0"/>
                <color rgb="FFFFFF00"/>
              </font>
              <fill>
                <patternFill>
                  <bgColor rgb="FFFF0000"/>
                </patternFill>
              </fill>
            </x14:dxf>
          </x14:cfRule>
          <xm:sqref>DR17:EG17</xm:sqref>
        </x14:conditionalFormatting>
        <x14:conditionalFormatting xmlns:xm="http://schemas.microsoft.com/office/excel/2006/main">
          <x14:cfRule type="expression" priority="322" id="{15618140-B54A-4E0C-84BE-9AFDE0AC7A81}">
            <xm:f>OR($CG$6 = "", IFERROR(MATCH(AV6 &amp; " / " &amp; CG6, 'Sponsor-Spouse'!$A$4:$A$36, 0), 0))</xm:f>
            <x14:dxf>
              <font>
                <b/>
                <i/>
                <color rgb="FFFFFF00"/>
              </font>
              <fill>
                <patternFill>
                  <bgColor rgb="FFFF0000"/>
                </patternFill>
              </fill>
            </x14:dxf>
          </x14:cfRule>
          <xm:sqref>CG6:DQ6</xm:sqref>
        </x14:conditionalFormatting>
        <x14:conditionalFormatting xmlns:xm="http://schemas.microsoft.com/office/excel/2006/main">
          <x14:cfRule type="expression" priority="334" id="{AE3727C6-52D5-4BBB-A8A3-3AF151EBA119}">
            <xm:f>OR(IF(Date_Override+0&gt;0,Date_Override,TODAY()) &lt; MIN(Lists!$S$2:$S$16),IF(Date_Override+0&gt;0,Date_Override,TODAY()) - Fee_Override &gt; MAX(Lists!$T$2:$T$16))</xm:f>
            <x14:dxf>
              <font>
                <b/>
                <i val="0"/>
                <color rgb="FFFFFF00"/>
              </font>
              <fill>
                <patternFill>
                  <bgColor rgb="FFFF0000"/>
                </patternFill>
              </fill>
            </x14:dxf>
          </x14:cfRule>
          <xm:sqref>DR8:DR9</xm:sqref>
        </x14:conditionalFormatting>
      </x14:conditionalFormattings>
    </ex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100-000010000000}">
          <x14:formula1>
            <xm:f>Status!$O$3:$O$18</xm:f>
          </x14:formula1>
          <xm:sqref>AV6:CF6</xm:sqref>
        </x14:dataValidation>
        <x14:dataValidation type="list" allowBlank="1" showInputMessage="1" showErrorMessage="1" xr:uid="{00000000-0002-0000-0100-000011000000}">
          <x14:formula1>
            <xm:f>Status!$R$3:$R$18</xm:f>
          </x14:formula1>
          <xm:sqref>CG6:DQ6</xm:sqref>
        </x14:dataValidation>
        <x14:dataValidation type="list" allowBlank="1" showErrorMessage="1" prompt="Use this for special situations" xr:uid="{00000000-0002-0000-0100-000012000000}">
          <x14:formula1>
            <xm:f>Lists!$AB$2:$AB$2</xm:f>
          </x14:formula1>
          <xm:sqref>AV38:CV38</xm:sqref>
        </x14:dataValidation>
        <x14:dataValidation type="list" allowBlank="1" showErrorMessage="1" prompt="Use this to override quoted category" xr:uid="{00000000-0002-0000-0100-00000F000000}">
          <x14:formula1>
            <xm:f>Lists!#REF!</xm:f>
          </x14:formula1>
          <xm:sqref>DR37:EG37</xm:sqref>
        </x14:dataValidation>
        <x14:dataValidation type="list" allowBlank="1" showInputMessage="1" showErrorMessage="1" promptTitle="Rank" prompt="This is for looking up civilian BAH (should be only OCONUS)." xr:uid="{837E0DA5-0E5B-424A-BB7D-A07532F28FC5}">
          <x14:formula1>
            <xm:f>IF(OR($CG$6 = "DoD Civilian", $CG$6 = "CYS"),Lists!$L$2:$L$108, Lists!$L$2)</xm:f>
          </x14:formula1>
          <xm:sqref>CG9:DQ9</xm:sqref>
        </x14:dataValidation>
        <x14:dataValidation type="list" allowBlank="1" showInputMessage="1" showErrorMessage="1" promptTitle="Rank" prompt="This is for looking up civilian BAH (should be only OCONUS)." xr:uid="{3AE40E2F-ACB3-48EE-B9EE-9F9A2970204E}">
          <x14:formula1>
            <xm:f>IF(OR($AV$6 = "DoD Civilian", $AV$6 = "CYS"),Lists!$L$2:$L$108, Lists!$L$2)</xm:f>
          </x14:formula1>
          <xm:sqref>AV9:CF9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037CC-F31E-4306-BDC6-B831046D1010}">
  <sheetPr codeName="Sheet13"/>
  <dimension ref="A1:E35"/>
  <sheetViews>
    <sheetView topLeftCell="A4" workbookViewId="0">
      <selection activeCell="C34" sqref="C34"/>
    </sheetView>
  </sheetViews>
  <sheetFormatPr defaultRowHeight="12.75" x14ac:dyDescent="0.25"/>
  <cols>
    <col min="1" max="1" width="13" style="100" customWidth="1"/>
    <col min="2" max="2" width="20" style="100" customWidth="1"/>
    <col min="3" max="3" width="21.85546875" style="100" customWidth="1"/>
    <col min="4" max="4" width="22.85546875" style="100" customWidth="1"/>
    <col min="5" max="5" width="21.85546875" style="100" customWidth="1"/>
    <col min="6" max="16384" width="9.140625" style="100"/>
  </cols>
  <sheetData>
    <row r="1" spans="1:5" ht="22.5" customHeight="1" x14ac:dyDescent="0.25">
      <c r="A1" s="319" t="s">
        <v>553</v>
      </c>
      <c r="B1" s="320"/>
      <c r="C1" s="320"/>
      <c r="D1" s="320"/>
      <c r="E1" s="321"/>
    </row>
    <row r="2" spans="1:5" ht="19.5" customHeight="1" x14ac:dyDescent="0.25">
      <c r="A2" s="322" t="s">
        <v>554</v>
      </c>
      <c r="B2" s="323"/>
      <c r="C2" s="323"/>
      <c r="D2" s="323"/>
      <c r="E2" s="324"/>
    </row>
    <row r="3" spans="1:5" ht="15.75" customHeight="1" x14ac:dyDescent="0.25">
      <c r="A3" s="325" t="s">
        <v>555</v>
      </c>
      <c r="B3" s="325" t="s">
        <v>556</v>
      </c>
      <c r="C3" s="327" t="s">
        <v>557</v>
      </c>
      <c r="D3" s="328"/>
      <c r="E3" s="325" t="s">
        <v>558</v>
      </c>
    </row>
    <row r="4" spans="1:5" ht="48.95" customHeight="1" x14ac:dyDescent="0.25">
      <c r="A4" s="326"/>
      <c r="B4" s="326"/>
      <c r="C4" s="115" t="s">
        <v>559</v>
      </c>
      <c r="D4" s="114" t="s">
        <v>560</v>
      </c>
      <c r="E4" s="326"/>
    </row>
    <row r="5" spans="1:5" ht="15" customHeight="1" x14ac:dyDescent="0.2">
      <c r="A5" s="113"/>
      <c r="B5" s="113"/>
      <c r="C5" s="113"/>
      <c r="D5" s="113"/>
      <c r="E5" s="113"/>
    </row>
    <row r="6" spans="1:5" ht="14.25" customHeight="1" x14ac:dyDescent="0.25">
      <c r="A6" s="104" t="s">
        <v>82</v>
      </c>
      <c r="B6" s="102">
        <v>50.7</v>
      </c>
      <c r="C6" s="112">
        <v>2244.9</v>
      </c>
      <c r="D6" s="110">
        <v>2762.4</v>
      </c>
      <c r="E6" s="101">
        <v>429.3</v>
      </c>
    </row>
    <row r="7" spans="1:5" ht="14.25" customHeight="1" x14ac:dyDescent="0.25">
      <c r="A7" s="108" t="s">
        <v>83</v>
      </c>
      <c r="B7" s="106">
        <v>50.7</v>
      </c>
      <c r="C7" s="111">
        <v>2244.9</v>
      </c>
      <c r="D7" s="109">
        <v>2762.4</v>
      </c>
      <c r="E7" s="105">
        <v>429.3</v>
      </c>
    </row>
    <row r="8" spans="1:5" ht="14.25" customHeight="1" x14ac:dyDescent="0.25">
      <c r="A8" s="104" t="s">
        <v>84</v>
      </c>
      <c r="B8" s="102">
        <v>50.7</v>
      </c>
      <c r="C8" s="112">
        <v>2244.9</v>
      </c>
      <c r="D8" s="110">
        <v>2762.4</v>
      </c>
      <c r="E8" s="101">
        <v>429.3</v>
      </c>
    </row>
    <row r="9" spans="1:5" ht="14.25" customHeight="1" x14ac:dyDescent="0.25">
      <c r="A9" s="108" t="s">
        <v>85</v>
      </c>
      <c r="B9" s="106">
        <v>50.7</v>
      </c>
      <c r="C9" s="111">
        <v>2244.9</v>
      </c>
      <c r="D9" s="109">
        <v>2762.4</v>
      </c>
      <c r="E9" s="105">
        <v>429.3</v>
      </c>
    </row>
    <row r="10" spans="1:5" ht="14.25" customHeight="1" x14ac:dyDescent="0.25">
      <c r="A10" s="104" t="s">
        <v>86</v>
      </c>
      <c r="B10" s="102">
        <v>39.6</v>
      </c>
      <c r="C10" s="112">
        <v>2058.6</v>
      </c>
      <c r="D10" s="110">
        <v>2486.4</v>
      </c>
      <c r="E10" s="101">
        <v>364.8</v>
      </c>
    </row>
    <row r="11" spans="1:5" ht="14.25" customHeight="1" x14ac:dyDescent="0.25">
      <c r="A11" s="108" t="s">
        <v>87</v>
      </c>
      <c r="B11" s="106">
        <v>33</v>
      </c>
      <c r="C11" s="111">
        <v>1982.4</v>
      </c>
      <c r="D11" s="109">
        <v>2396.6999999999998</v>
      </c>
      <c r="E11" s="105">
        <v>352.5</v>
      </c>
    </row>
    <row r="12" spans="1:5" ht="14.25" customHeight="1" x14ac:dyDescent="0.25">
      <c r="A12" s="104" t="s">
        <v>88</v>
      </c>
      <c r="B12" s="102">
        <v>26.7</v>
      </c>
      <c r="C12" s="112">
        <v>1836.6</v>
      </c>
      <c r="D12" s="110">
        <v>2112.3000000000002</v>
      </c>
      <c r="E12" s="101">
        <v>235.2</v>
      </c>
    </row>
    <row r="13" spans="1:5" ht="14.25" customHeight="1" x14ac:dyDescent="0.25">
      <c r="A13" s="108" t="s">
        <v>89</v>
      </c>
      <c r="B13" s="106">
        <v>22.2</v>
      </c>
      <c r="C13" s="111">
        <v>1473</v>
      </c>
      <c r="D13" s="109">
        <v>1747.8</v>
      </c>
      <c r="E13" s="105">
        <v>234.9</v>
      </c>
    </row>
    <row r="14" spans="1:5" ht="14.25" customHeight="1" x14ac:dyDescent="0.25">
      <c r="A14" s="104" t="s">
        <v>90</v>
      </c>
      <c r="B14" s="102">
        <v>17.7</v>
      </c>
      <c r="C14" s="112">
        <v>1166.7</v>
      </c>
      <c r="D14" s="110">
        <v>1491.3</v>
      </c>
      <c r="E14" s="101">
        <v>276.89999999999998</v>
      </c>
    </row>
    <row r="15" spans="1:5" ht="14.25" customHeight="1" x14ac:dyDescent="0.25">
      <c r="A15" s="108" t="s">
        <v>91</v>
      </c>
      <c r="B15" s="106">
        <v>13.2</v>
      </c>
      <c r="C15" s="107">
        <v>1001.7</v>
      </c>
      <c r="D15" s="109">
        <v>1335</v>
      </c>
      <c r="E15" s="105">
        <v>299.10000000000002</v>
      </c>
    </row>
    <row r="16" spans="1:5" ht="14.25" customHeight="1" x14ac:dyDescent="0.25">
      <c r="A16" s="104" t="s">
        <v>12</v>
      </c>
      <c r="B16" s="102">
        <v>22.2</v>
      </c>
      <c r="C16" s="112">
        <v>1589.7</v>
      </c>
      <c r="D16" s="110">
        <v>1878.3</v>
      </c>
      <c r="E16" s="101">
        <v>245.4</v>
      </c>
    </row>
    <row r="17" spans="1:5" ht="14.25" customHeight="1" x14ac:dyDescent="0.25">
      <c r="A17" s="108" t="s">
        <v>11</v>
      </c>
      <c r="B17" s="106">
        <v>17.7</v>
      </c>
      <c r="C17" s="111">
        <v>1351.8</v>
      </c>
      <c r="D17" s="109">
        <v>1695.3</v>
      </c>
      <c r="E17" s="105">
        <v>293.7</v>
      </c>
    </row>
    <row r="18" spans="1:5" ht="14.25" customHeight="1" x14ac:dyDescent="0.25">
      <c r="A18" s="104" t="s">
        <v>10</v>
      </c>
      <c r="B18" s="102">
        <v>13.2</v>
      </c>
      <c r="C18" s="112">
        <v>1175.7</v>
      </c>
      <c r="D18" s="110">
        <v>1566.9</v>
      </c>
      <c r="E18" s="101">
        <v>344.7</v>
      </c>
    </row>
    <row r="19" spans="1:5" ht="14.25" customHeight="1" x14ac:dyDescent="0.25">
      <c r="A19" s="108" t="s">
        <v>92</v>
      </c>
      <c r="B19" s="106">
        <v>25.2</v>
      </c>
      <c r="C19" s="111">
        <v>1866.9</v>
      </c>
      <c r="D19" s="109">
        <v>2040</v>
      </c>
      <c r="E19" s="105">
        <v>146.69999999999999</v>
      </c>
    </row>
    <row r="20" spans="1:5" ht="14.25" customHeight="1" x14ac:dyDescent="0.25">
      <c r="A20" s="104" t="s">
        <v>93</v>
      </c>
      <c r="B20" s="102">
        <v>25.2</v>
      </c>
      <c r="C20" s="112">
        <v>1657.5</v>
      </c>
      <c r="D20" s="110">
        <v>1870.2</v>
      </c>
      <c r="E20" s="101">
        <v>180.9</v>
      </c>
    </row>
    <row r="21" spans="1:5" ht="14.25" customHeight="1" x14ac:dyDescent="0.25">
      <c r="A21" s="108" t="s">
        <v>94</v>
      </c>
      <c r="B21" s="106">
        <v>20.7</v>
      </c>
      <c r="C21" s="111">
        <v>1393.5</v>
      </c>
      <c r="D21" s="109">
        <v>1714.2</v>
      </c>
      <c r="E21" s="105">
        <v>272.39999999999998</v>
      </c>
    </row>
    <row r="22" spans="1:5" ht="15" customHeight="1" x14ac:dyDescent="0.25">
      <c r="A22" s="104" t="s">
        <v>95</v>
      </c>
      <c r="B22" s="102">
        <v>15.9</v>
      </c>
      <c r="C22" s="112">
        <v>1236.9000000000001</v>
      </c>
      <c r="D22" s="110">
        <v>1575</v>
      </c>
      <c r="E22" s="101">
        <v>288</v>
      </c>
    </row>
    <row r="23" spans="1:5" ht="14.25" customHeight="1" x14ac:dyDescent="0.25">
      <c r="A23" s="108" t="s">
        <v>96</v>
      </c>
      <c r="B23" s="106">
        <v>13.8</v>
      </c>
      <c r="C23" s="107">
        <v>1037.0999999999999</v>
      </c>
      <c r="D23" s="109">
        <v>1363.5</v>
      </c>
      <c r="E23" s="105">
        <v>279</v>
      </c>
    </row>
    <row r="24" spans="1:5" ht="14.25" customHeight="1" x14ac:dyDescent="0.25">
      <c r="A24" s="104" t="s">
        <v>97</v>
      </c>
      <c r="B24" s="102">
        <v>18.600000000000001</v>
      </c>
      <c r="C24" s="112">
        <v>1360.5</v>
      </c>
      <c r="D24" s="110">
        <v>1794.6</v>
      </c>
      <c r="E24" s="101">
        <v>368.1</v>
      </c>
    </row>
    <row r="25" spans="1:5" ht="14.25" customHeight="1" x14ac:dyDescent="0.25">
      <c r="A25" s="108" t="s">
        <v>98</v>
      </c>
      <c r="B25" s="106">
        <v>15.3</v>
      </c>
      <c r="C25" s="111">
        <v>1250.7</v>
      </c>
      <c r="D25" s="109">
        <v>1655.1</v>
      </c>
      <c r="E25" s="105">
        <v>345</v>
      </c>
    </row>
    <row r="26" spans="1:5" ht="14.25" customHeight="1" x14ac:dyDescent="0.25">
      <c r="A26" s="104" t="s">
        <v>99</v>
      </c>
      <c r="B26" s="102">
        <v>12</v>
      </c>
      <c r="C26" s="112">
        <v>1152</v>
      </c>
      <c r="D26" s="110">
        <v>1535.7</v>
      </c>
      <c r="E26" s="101">
        <v>399.3</v>
      </c>
    </row>
    <row r="27" spans="1:5" ht="14.25" customHeight="1" x14ac:dyDescent="0.25">
      <c r="A27" s="108" t="s">
        <v>100</v>
      </c>
      <c r="B27" s="106">
        <v>9.9</v>
      </c>
      <c r="C27" s="111">
        <v>1064.7</v>
      </c>
      <c r="D27" s="109">
        <v>1419.3</v>
      </c>
      <c r="E27" s="105">
        <v>386.4</v>
      </c>
    </row>
    <row r="28" spans="1:5" ht="14.25" customHeight="1" x14ac:dyDescent="0.25">
      <c r="A28" s="104" t="s">
        <v>101</v>
      </c>
      <c r="B28" s="102">
        <v>8.6999999999999993</v>
      </c>
      <c r="C28" s="103">
        <v>958.2</v>
      </c>
      <c r="D28" s="110">
        <v>1277.4000000000001</v>
      </c>
      <c r="E28" s="101">
        <v>328.5</v>
      </c>
    </row>
    <row r="29" spans="1:5" ht="14.25" customHeight="1" x14ac:dyDescent="0.25">
      <c r="A29" s="108" t="s">
        <v>102</v>
      </c>
      <c r="B29" s="106">
        <v>8.1</v>
      </c>
      <c r="C29" s="107">
        <v>833.4</v>
      </c>
      <c r="D29" s="109">
        <v>1110</v>
      </c>
      <c r="E29" s="105">
        <v>283.8</v>
      </c>
    </row>
    <row r="30" spans="1:5" ht="14.25" customHeight="1" x14ac:dyDescent="0.25">
      <c r="A30" s="104" t="s">
        <v>103</v>
      </c>
      <c r="B30" s="102">
        <v>7.8</v>
      </c>
      <c r="C30" s="103">
        <v>774.3</v>
      </c>
      <c r="D30" s="102">
        <v>1032</v>
      </c>
      <c r="E30" s="101">
        <v>232.8</v>
      </c>
    </row>
    <row r="31" spans="1:5" ht="14.25" customHeight="1" x14ac:dyDescent="0.25">
      <c r="A31" s="108" t="s">
        <v>104</v>
      </c>
      <c r="B31" s="106">
        <v>7.2</v>
      </c>
      <c r="C31" s="107">
        <v>738.6</v>
      </c>
      <c r="D31" s="106">
        <v>983.7</v>
      </c>
      <c r="E31" s="105">
        <v>311.10000000000002</v>
      </c>
    </row>
    <row r="32" spans="1:5" ht="14.25" customHeight="1" x14ac:dyDescent="0.25">
      <c r="A32" s="104" t="s">
        <v>105</v>
      </c>
      <c r="B32" s="102">
        <v>6.9</v>
      </c>
      <c r="C32" s="103">
        <v>738.6</v>
      </c>
      <c r="D32" s="102">
        <v>983.7</v>
      </c>
      <c r="E32" s="101">
        <v>368.1</v>
      </c>
    </row>
    <row r="33" spans="1:5" ht="48" customHeight="1" x14ac:dyDescent="0.25">
      <c r="A33" s="316" t="s">
        <v>552</v>
      </c>
      <c r="B33" s="317"/>
      <c r="C33" s="317"/>
      <c r="D33" s="317"/>
      <c r="E33" s="318"/>
    </row>
    <row r="34" spans="1:5" ht="13.5" x14ac:dyDescent="0.2">
      <c r="A34" s="118" t="s">
        <v>537</v>
      </c>
      <c r="B34" s="116" t="s">
        <v>536</v>
      </c>
      <c r="C34" s="117">
        <v>316.98</v>
      </c>
    </row>
    <row r="35" spans="1:5" ht="13.5" x14ac:dyDescent="0.2">
      <c r="B35" s="116" t="s">
        <v>535</v>
      </c>
      <c r="C35" s="117">
        <v>460.25</v>
      </c>
    </row>
  </sheetData>
  <mergeCells count="7">
    <mergeCell ref="A33:E33"/>
    <mergeCell ref="A1:E1"/>
    <mergeCell ref="A2:E2"/>
    <mergeCell ref="A3:A4"/>
    <mergeCell ref="B3:B4"/>
    <mergeCell ref="C3:D3"/>
    <mergeCell ref="E3: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M20"/>
  <sheetViews>
    <sheetView workbookViewId="0">
      <selection sqref="A1:L1"/>
    </sheetView>
  </sheetViews>
  <sheetFormatPr defaultColWidth="9.140625" defaultRowHeight="15" zeroHeight="1" x14ac:dyDescent="0.25"/>
  <cols>
    <col min="1" max="1" width="15.42578125" customWidth="1"/>
    <col min="2" max="2" width="18.28515625" customWidth="1"/>
    <col min="3" max="3" width="10.5703125" style="95" hidden="1" customWidth="1"/>
    <col min="4" max="6" width="9.140625" style="95" hidden="1" customWidth="1"/>
    <col min="7" max="7" width="3" bestFit="1" customWidth="1"/>
    <col min="8" max="8" width="3" style="95" hidden="1" customWidth="1"/>
    <col min="9" max="9" width="3" bestFit="1" customWidth="1"/>
    <col min="10" max="10" width="3" style="95" hidden="1" customWidth="1"/>
    <col min="11" max="11" width="11.140625" bestFit="1" customWidth="1"/>
    <col min="12" max="12" width="28.85546875" bestFit="1" customWidth="1"/>
    <col min="13" max="13" width="51.7109375" bestFit="1" customWidth="1"/>
  </cols>
  <sheetData>
    <row r="1" spans="1:13" x14ac:dyDescent="0.25">
      <c r="A1" s="329" t="s">
        <v>528</v>
      </c>
      <c r="B1" s="329"/>
      <c r="C1" s="329"/>
      <c r="D1" s="329"/>
      <c r="E1" s="329"/>
      <c r="F1" s="329"/>
      <c r="G1" s="329"/>
      <c r="H1" s="329"/>
      <c r="I1" s="329"/>
      <c r="J1" s="329"/>
      <c r="K1" s="329"/>
      <c r="L1" s="329"/>
    </row>
    <row r="2" spans="1:13" x14ac:dyDescent="0.25">
      <c r="A2" s="329" t="s">
        <v>470</v>
      </c>
      <c r="B2" s="329"/>
      <c r="C2" s="329"/>
      <c r="D2" s="329"/>
      <c r="E2" s="329"/>
      <c r="F2" s="329"/>
      <c r="G2" s="329"/>
      <c r="H2" s="329"/>
      <c r="I2" s="329"/>
      <c r="J2" s="329"/>
      <c r="K2" s="329"/>
      <c r="L2" s="329"/>
    </row>
    <row r="3" spans="1:13" x14ac:dyDescent="0.25"/>
    <row r="4" spans="1:13" x14ac:dyDescent="0.25">
      <c r="B4" s="329" t="s">
        <v>471</v>
      </c>
      <c r="C4" s="329"/>
      <c r="D4" s="329"/>
      <c r="E4" s="329"/>
      <c r="F4" s="329"/>
      <c r="G4" s="329"/>
      <c r="H4" s="329"/>
      <c r="I4" s="329"/>
    </row>
    <row r="5" spans="1:13" x14ac:dyDescent="0.25">
      <c r="A5" t="s">
        <v>472</v>
      </c>
      <c r="B5" s="90">
        <v>220</v>
      </c>
      <c r="C5" s="96">
        <f>IFERROR(B5 + 0, 0)</f>
        <v>220</v>
      </c>
      <c r="D5" s="95">
        <f t="shared" ref="D5:D10" si="0">C5 * (365/7)/12</f>
        <v>955.95238095238108</v>
      </c>
      <c r="E5" s="95">
        <v>1</v>
      </c>
      <c r="F5" s="95">
        <f>IF(IFERROR(B5 + 0, 0) = 0, 0, 1) * E5</f>
        <v>1</v>
      </c>
      <c r="G5" t="s">
        <v>524</v>
      </c>
    </row>
    <row r="6" spans="1:13" x14ac:dyDescent="0.25">
      <c r="A6" t="s">
        <v>477</v>
      </c>
      <c r="B6" s="90"/>
      <c r="C6" s="96">
        <f>IFERROR(B6 + 0, 0)/2</f>
        <v>0</v>
      </c>
      <c r="D6" s="95">
        <f t="shared" si="0"/>
        <v>0</v>
      </c>
      <c r="E6" s="95">
        <v>2</v>
      </c>
      <c r="F6" s="95">
        <f t="shared" ref="F6:F10" si="1">IF(IFERROR(B6 + 0, 0) = 0, 0, 1) * E6</f>
        <v>0</v>
      </c>
    </row>
    <row r="7" spans="1:13" x14ac:dyDescent="0.25">
      <c r="A7" t="s">
        <v>473</v>
      </c>
      <c r="B7" s="90"/>
      <c r="C7" s="96">
        <f>IFERROR(B7 + 0, 0)*12*2/(365/7)</f>
        <v>0</v>
      </c>
      <c r="D7" s="95">
        <f t="shared" si="0"/>
        <v>0</v>
      </c>
      <c r="E7" s="95">
        <f>E8/2</f>
        <v>2.1726190476190479</v>
      </c>
      <c r="F7" s="95">
        <f t="shared" si="1"/>
        <v>0</v>
      </c>
    </row>
    <row r="8" spans="1:13" x14ac:dyDescent="0.25">
      <c r="A8" t="s">
        <v>474</v>
      </c>
      <c r="B8" s="90"/>
      <c r="C8" s="96">
        <f>IFERROR(B8 + 0, 0)*12/(365/7)</f>
        <v>0</v>
      </c>
      <c r="D8" s="95">
        <f t="shared" si="0"/>
        <v>0</v>
      </c>
      <c r="E8" s="95">
        <f>E10/12</f>
        <v>4.3452380952380958</v>
      </c>
      <c r="F8" s="95">
        <f t="shared" si="1"/>
        <v>0</v>
      </c>
    </row>
    <row r="9" spans="1:13" x14ac:dyDescent="0.25">
      <c r="A9" t="s">
        <v>475</v>
      </c>
      <c r="B9" s="90"/>
      <c r="C9" s="96">
        <f>B9/(365/7) * 2</f>
        <v>0</v>
      </c>
      <c r="D9" s="95">
        <f t="shared" si="0"/>
        <v>0</v>
      </c>
      <c r="E9" s="95">
        <f>E10/2</f>
        <v>26.071428571428573</v>
      </c>
      <c r="F9" s="95">
        <f t="shared" si="1"/>
        <v>0</v>
      </c>
      <c r="I9" t="s">
        <v>481</v>
      </c>
      <c r="J9" s="95" t="str">
        <f ca="1">OFFSET(Table11[[#Headers],[Authorized?]], MATCH(I9, Table11['#], 0), 0)</f>
        <v>Yes</v>
      </c>
      <c r="K9" s="94">
        <f ca="1">IF(J9 = "No", "", (SUM($C$5:$C$10)/$B$14))</f>
        <v>30.344827586206897</v>
      </c>
      <c r="L9" t="str">
        <f ca="1">IF(J9 = "No", "", IF(K9 &gt;= 30, "Full time", "Part-time; full-time if in school"))</f>
        <v>Full time</v>
      </c>
      <c r="M9" t="str">
        <f ca="1">OFFSET(Table11[[#Headers],[Definition]], MATCH(I9, Table11['#], 0), 0)</f>
        <v>At least 30 hours a week for the income and min wage given</v>
      </c>
    </row>
    <row r="10" spans="1:13" x14ac:dyDescent="0.25">
      <c r="A10" t="s">
        <v>476</v>
      </c>
      <c r="B10" s="90"/>
      <c r="C10" s="96">
        <f>B10/(365/7)</f>
        <v>0</v>
      </c>
      <c r="D10" s="95">
        <f t="shared" si="0"/>
        <v>0</v>
      </c>
      <c r="E10" s="95">
        <f>365/7</f>
        <v>52.142857142857146</v>
      </c>
      <c r="F10" s="95">
        <f t="shared" si="1"/>
        <v>0</v>
      </c>
      <c r="I10" t="s">
        <v>482</v>
      </c>
      <c r="J10" s="95" t="str">
        <f ca="1">OFFSET(Table11[[#Headers],[Authorized?]], MATCH(I10, Table11['#], 0), 0)</f>
        <v>Yes</v>
      </c>
      <c r="K10" s="94">
        <f ca="1">IF(J10= "No", "", SUM($D$5:$D$10) / $B$14)</f>
        <v>131.85550082101807</v>
      </c>
      <c r="L10" t="str">
        <f ca="1">IF(J10 = "No", "", IF(K10 &gt;= 100, "Full time", "Part-time; full-time if in school"))</f>
        <v>Full time</v>
      </c>
      <c r="M10" t="str">
        <f ca="1">OFFSET(Table11[[#Headers],[Definition]], MATCH(I10, Table11['#], 0), 0)</f>
        <v>100 hours a month for the income and min wage given</v>
      </c>
    </row>
    <row r="11" spans="1:13" x14ac:dyDescent="0.25">
      <c r="A11" t="s">
        <v>480</v>
      </c>
      <c r="B11" s="92">
        <v>40</v>
      </c>
      <c r="C11" s="96"/>
      <c r="I11" t="s">
        <v>483</v>
      </c>
      <c r="J11" s="95" t="str">
        <f ca="1">OFFSET(Table11[[#Headers],[Authorized?]], MATCH(I11, Table11['#], 0), 0)</f>
        <v>Yes</v>
      </c>
      <c r="K11" s="93">
        <f ca="1">IF(J11 = "No", "", IFERROR(SUM($C$5:$C$10) / $B$11, "n/a"))</f>
        <v>5.5</v>
      </c>
      <c r="L11" t="str">
        <f ca="1">IF(J11 = "No", "", IF(K11 = "n/a", "n/a", IF(K11 &gt;= B14, "Full-time", "Part-time; full time if in school")))</f>
        <v>Part-time; full time if in school</v>
      </c>
      <c r="M11" t="str">
        <f ca="1">OFFSET(Table11[[#Headers],[Definition]], MATCH(I11, Table11['#], 0), 0)</f>
        <v>At least min wage for the number of hours given</v>
      </c>
    </row>
    <row r="12" spans="1:13" x14ac:dyDescent="0.25">
      <c r="A12" t="s">
        <v>407</v>
      </c>
      <c r="B12" s="91" t="s">
        <v>442</v>
      </c>
      <c r="C12" s="96"/>
    </row>
    <row r="13" spans="1:13" x14ac:dyDescent="0.25"/>
    <row r="14" spans="1:13" x14ac:dyDescent="0.25">
      <c r="A14" t="s">
        <v>478</v>
      </c>
      <c r="B14" s="85">
        <f ca="1">OFFSET(MinWage[[#Headers],[Minimum wage]], MATCH(B12, MinWage[State], 0), 0)</f>
        <v>7.25</v>
      </c>
      <c r="C14" s="97"/>
    </row>
    <row r="15" spans="1:13" x14ac:dyDescent="0.25">
      <c r="A15" t="s">
        <v>479</v>
      </c>
      <c r="B15" t="str">
        <f ca="1">OFFSET(MinWage[[#Headers],[Note]], MATCH(B12, MinWage[State], 0), 0) &amp; ""</f>
        <v/>
      </c>
      <c r="C15" s="97"/>
    </row>
    <row r="18" spans="11:11" hidden="1" x14ac:dyDescent="0.25">
      <c r="K18" s="86"/>
    </row>
    <row r="19" spans="11:11" x14ac:dyDescent="0.25"/>
    <row r="20" spans="11:11" x14ac:dyDescent="0.25"/>
  </sheetData>
  <sheetProtection password="C979" sheet="1" objects="1" scenarios="1"/>
  <mergeCells count="3">
    <mergeCell ref="A1:L1"/>
    <mergeCell ref="A2:L2"/>
    <mergeCell ref="B4:I4"/>
  </mergeCells>
  <conditionalFormatting sqref="B5:B11">
    <cfRule type="expression" dxfId="25" priority="5">
      <formula>COUNTIFS($C$5:$C$10, "&lt;&gt;0") &gt; 1</formula>
    </cfRule>
  </conditionalFormatting>
  <dataValidations count="1">
    <dataValidation type="list" allowBlank="1" showInputMessage="1" showErrorMessage="1" sqref="B12" xr:uid="{00000000-0002-0000-0200-000000000000}">
      <formula1>INDIRECT("MinWage[State]")</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883826E-1EA6-42D7-9853-AFD03B0F78F7}">
            <xm:f>$B$12 &lt;&gt;Settings!$A$11</xm:f>
            <x14:dxf>
              <fill>
                <patternFill>
                  <bgColor rgb="FFFFFF00"/>
                </patternFill>
              </fill>
            </x14:dxf>
          </x14:cfRule>
          <xm:sqref>B12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D99"/>
  <sheetViews>
    <sheetView topLeftCell="A70" workbookViewId="0"/>
  </sheetViews>
  <sheetFormatPr defaultRowHeight="15" x14ac:dyDescent="0.25"/>
  <cols>
    <col min="1" max="1" width="18.7109375" bestFit="1" customWidth="1"/>
    <col min="2" max="2" width="17.28515625" bestFit="1" customWidth="1"/>
    <col min="3" max="3" width="104.7109375" bestFit="1" customWidth="1"/>
  </cols>
  <sheetData>
    <row r="1" spans="1:3" x14ac:dyDescent="0.25">
      <c r="A1" t="s">
        <v>529</v>
      </c>
    </row>
    <row r="3" spans="1:3" x14ac:dyDescent="0.25">
      <c r="A3" t="s">
        <v>530</v>
      </c>
    </row>
    <row r="4" spans="1:3" x14ac:dyDescent="0.25">
      <c r="A4" t="s">
        <v>108</v>
      </c>
      <c r="B4" t="s">
        <v>518</v>
      </c>
      <c r="C4" t="s">
        <v>517</v>
      </c>
    </row>
    <row r="5" spans="1:3" x14ac:dyDescent="0.25">
      <c r="A5" t="s">
        <v>481</v>
      </c>
      <c r="B5" s="19" t="s">
        <v>383</v>
      </c>
      <c r="C5" t="s">
        <v>525</v>
      </c>
    </row>
    <row r="6" spans="1:3" x14ac:dyDescent="0.25">
      <c r="A6" t="s">
        <v>482</v>
      </c>
      <c r="B6" s="19" t="s">
        <v>383</v>
      </c>
      <c r="C6" t="s">
        <v>526</v>
      </c>
    </row>
    <row r="7" spans="1:3" x14ac:dyDescent="0.25">
      <c r="A7" t="s">
        <v>483</v>
      </c>
      <c r="B7" s="19" t="s">
        <v>383</v>
      </c>
      <c r="C7" t="s">
        <v>527</v>
      </c>
    </row>
    <row r="9" spans="1:3" x14ac:dyDescent="0.25">
      <c r="A9" t="s">
        <v>519</v>
      </c>
    </row>
    <row r="10" spans="1:3" x14ac:dyDescent="0.25">
      <c r="A10" t="s">
        <v>516</v>
      </c>
    </row>
    <row r="11" spans="1:3" x14ac:dyDescent="0.25">
      <c r="A11" s="19" t="s">
        <v>452</v>
      </c>
    </row>
    <row r="13" spans="1:3" x14ac:dyDescent="0.25">
      <c r="A13" t="s">
        <v>520</v>
      </c>
    </row>
    <row r="14" spans="1:3" x14ac:dyDescent="0.25">
      <c r="A14" t="s">
        <v>407</v>
      </c>
      <c r="B14" t="s">
        <v>408</v>
      </c>
      <c r="C14" t="s">
        <v>469</v>
      </c>
    </row>
    <row r="15" spans="1:3" x14ac:dyDescent="0.25">
      <c r="A15" t="s">
        <v>464</v>
      </c>
      <c r="B15">
        <v>7.25</v>
      </c>
    </row>
    <row r="16" spans="1:3" x14ac:dyDescent="0.25">
      <c r="A16" t="s">
        <v>409</v>
      </c>
      <c r="B16">
        <v>10.34</v>
      </c>
    </row>
    <row r="17" spans="1:3" x14ac:dyDescent="0.25">
      <c r="A17" t="s">
        <v>410</v>
      </c>
      <c r="B17">
        <v>12.15</v>
      </c>
    </row>
    <row r="18" spans="1:3" x14ac:dyDescent="0.25">
      <c r="A18" t="s">
        <v>411</v>
      </c>
      <c r="B18" s="84">
        <v>11</v>
      </c>
    </row>
    <row r="19" spans="1:3" x14ac:dyDescent="0.25">
      <c r="A19" t="s">
        <v>486</v>
      </c>
      <c r="B19" s="84">
        <v>12.14</v>
      </c>
      <c r="C19" s="87"/>
    </row>
    <row r="20" spans="1:3" x14ac:dyDescent="0.25">
      <c r="A20" t="s">
        <v>491</v>
      </c>
      <c r="B20" s="84">
        <v>10.38</v>
      </c>
      <c r="C20" s="87"/>
    </row>
    <row r="21" spans="1:3" x14ac:dyDescent="0.25">
      <c r="A21" t="s">
        <v>513</v>
      </c>
      <c r="B21" s="84">
        <v>2.1800000000000002</v>
      </c>
      <c r="C21" s="87"/>
    </row>
    <row r="22" spans="1:3" x14ac:dyDescent="0.25">
      <c r="A22" t="s">
        <v>412</v>
      </c>
      <c r="B22" s="84">
        <v>7.25</v>
      </c>
      <c r="C22" t="s">
        <v>465</v>
      </c>
    </row>
    <row r="23" spans="1:3" x14ac:dyDescent="0.25">
      <c r="A23" t="s">
        <v>494</v>
      </c>
      <c r="B23" s="84">
        <v>9.52</v>
      </c>
      <c r="C23" s="87"/>
    </row>
    <row r="24" spans="1:3" x14ac:dyDescent="0.25">
      <c r="A24" t="s">
        <v>512</v>
      </c>
      <c r="B24" s="84">
        <v>2.25</v>
      </c>
      <c r="C24" s="87"/>
    </row>
    <row r="25" spans="1:3" x14ac:dyDescent="0.25">
      <c r="A25" t="s">
        <v>510</v>
      </c>
      <c r="B25" s="84">
        <v>2.66</v>
      </c>
      <c r="C25" s="87"/>
    </row>
    <row r="26" spans="1:3" x14ac:dyDescent="0.25">
      <c r="A26" t="s">
        <v>413</v>
      </c>
      <c r="B26" s="84">
        <v>12.32</v>
      </c>
    </row>
    <row r="27" spans="1:3" x14ac:dyDescent="0.25">
      <c r="A27" t="s">
        <v>414</v>
      </c>
      <c r="B27" s="84">
        <v>13</v>
      </c>
      <c r="C27" t="s">
        <v>461</v>
      </c>
    </row>
    <row r="28" spans="1:3" x14ac:dyDescent="0.25">
      <c r="A28" t="s">
        <v>507</v>
      </c>
      <c r="B28" s="84">
        <v>3.37</v>
      </c>
      <c r="C28" s="87"/>
    </row>
    <row r="29" spans="1:3" x14ac:dyDescent="0.25">
      <c r="A29" t="s">
        <v>501</v>
      </c>
      <c r="B29" s="84">
        <v>5.17</v>
      </c>
      <c r="C29" s="87"/>
    </row>
    <row r="30" spans="1:3" x14ac:dyDescent="0.25">
      <c r="A30" t="s">
        <v>415</v>
      </c>
      <c r="B30" s="84">
        <v>9.25</v>
      </c>
    </row>
    <row r="31" spans="1:3" x14ac:dyDescent="0.25">
      <c r="A31" t="s">
        <v>416</v>
      </c>
      <c r="B31" s="84">
        <v>15</v>
      </c>
      <c r="C31" t="s">
        <v>462</v>
      </c>
    </row>
    <row r="32" spans="1:3" x14ac:dyDescent="0.25">
      <c r="A32" t="s">
        <v>506</v>
      </c>
      <c r="B32" s="84">
        <v>3.4</v>
      </c>
      <c r="C32" s="87"/>
    </row>
    <row r="33" spans="1:3" x14ac:dyDescent="0.25">
      <c r="A33" t="s">
        <v>417</v>
      </c>
      <c r="B33" s="84">
        <v>8.56</v>
      </c>
      <c r="C33" t="s">
        <v>463</v>
      </c>
    </row>
    <row r="34" spans="1:3" x14ac:dyDescent="0.25">
      <c r="A34" t="s">
        <v>487</v>
      </c>
      <c r="B34" s="84">
        <v>11.66</v>
      </c>
      <c r="C34" s="87"/>
    </row>
    <row r="35" spans="1:3" x14ac:dyDescent="0.25">
      <c r="A35" t="s">
        <v>418</v>
      </c>
      <c r="B35" s="84">
        <v>7.25</v>
      </c>
      <c r="C35" t="s">
        <v>466</v>
      </c>
    </row>
    <row r="36" spans="1:3" x14ac:dyDescent="0.25">
      <c r="A36" t="s">
        <v>489</v>
      </c>
      <c r="B36" s="84">
        <v>10.87</v>
      </c>
      <c r="C36" s="87"/>
    </row>
    <row r="37" spans="1:3" x14ac:dyDescent="0.25">
      <c r="A37" t="s">
        <v>502</v>
      </c>
      <c r="B37" s="84">
        <v>4.9800000000000004</v>
      </c>
      <c r="C37" s="89"/>
    </row>
    <row r="38" spans="1:3" x14ac:dyDescent="0.25">
      <c r="A38" t="s">
        <v>419</v>
      </c>
      <c r="B38" s="84">
        <v>9.25</v>
      </c>
    </row>
    <row r="39" spans="1:3" x14ac:dyDescent="0.25">
      <c r="A39" t="s">
        <v>420</v>
      </c>
      <c r="B39" s="84">
        <v>10.1</v>
      </c>
    </row>
    <row r="40" spans="1:3" x14ac:dyDescent="0.25">
      <c r="A40" t="s">
        <v>509</v>
      </c>
      <c r="B40" s="84">
        <v>2.9</v>
      </c>
      <c r="C40" s="87"/>
    </row>
    <row r="41" spans="1:3" x14ac:dyDescent="0.25">
      <c r="A41" t="s">
        <v>421</v>
      </c>
      <c r="B41" s="84">
        <v>7.25</v>
      </c>
    </row>
    <row r="42" spans="1:3" x14ac:dyDescent="0.25">
      <c r="A42" t="s">
        <v>422</v>
      </c>
      <c r="B42" s="84">
        <v>11</v>
      </c>
    </row>
    <row r="43" spans="1:3" x14ac:dyDescent="0.25">
      <c r="A43" t="s">
        <v>423</v>
      </c>
      <c r="B43" s="84">
        <v>7.25</v>
      </c>
    </row>
    <row r="44" spans="1:3" x14ac:dyDescent="0.25">
      <c r="A44" t="s">
        <v>424</v>
      </c>
      <c r="B44" s="84">
        <v>7.25</v>
      </c>
    </row>
    <row r="45" spans="1:3" x14ac:dyDescent="0.25">
      <c r="A45" t="s">
        <v>493</v>
      </c>
      <c r="B45" s="84">
        <v>9.6199999999999992</v>
      </c>
      <c r="C45" s="87"/>
    </row>
    <row r="46" spans="1:3" x14ac:dyDescent="0.25">
      <c r="A46" t="s">
        <v>495</v>
      </c>
      <c r="B46" s="84">
        <v>7.94</v>
      </c>
      <c r="C46" s="87"/>
    </row>
    <row r="47" spans="1:3" x14ac:dyDescent="0.25">
      <c r="A47" t="s">
        <v>425</v>
      </c>
      <c r="B47" s="84">
        <v>7.25</v>
      </c>
    </row>
    <row r="48" spans="1:3" x14ac:dyDescent="0.25">
      <c r="A48" t="s">
        <v>426</v>
      </c>
      <c r="B48" s="84">
        <v>7.25</v>
      </c>
    </row>
    <row r="49" spans="1:3" x14ac:dyDescent="0.25">
      <c r="A49" t="s">
        <v>504</v>
      </c>
      <c r="B49" s="84">
        <v>4.3</v>
      </c>
      <c r="C49" s="87"/>
    </row>
    <row r="50" spans="1:3" x14ac:dyDescent="0.25">
      <c r="A50" t="s">
        <v>503</v>
      </c>
      <c r="B50" s="84">
        <v>4.78</v>
      </c>
      <c r="C50" s="87"/>
    </row>
    <row r="51" spans="1:3" x14ac:dyDescent="0.25">
      <c r="A51" t="s">
        <v>427</v>
      </c>
      <c r="B51" s="84">
        <v>7.25</v>
      </c>
    </row>
    <row r="52" spans="1:3" x14ac:dyDescent="0.25">
      <c r="A52" t="s">
        <v>485</v>
      </c>
      <c r="B52" s="84">
        <v>13.78</v>
      </c>
      <c r="C52" s="87"/>
    </row>
    <row r="53" spans="1:3" x14ac:dyDescent="0.25">
      <c r="A53" t="s">
        <v>428</v>
      </c>
      <c r="B53" s="84">
        <v>12.15</v>
      </c>
    </row>
    <row r="54" spans="1:3" x14ac:dyDescent="0.25">
      <c r="A54" t="s">
        <v>429</v>
      </c>
      <c r="B54" s="84">
        <v>11.75</v>
      </c>
    </row>
    <row r="55" spans="1:3" x14ac:dyDescent="0.25">
      <c r="A55" t="s">
        <v>430</v>
      </c>
      <c r="B55" s="84">
        <v>13.5</v>
      </c>
    </row>
    <row r="56" spans="1:3" x14ac:dyDescent="0.25">
      <c r="A56" t="s">
        <v>515</v>
      </c>
      <c r="B56" s="84">
        <v>1.05</v>
      </c>
      <c r="C56" s="87"/>
    </row>
    <row r="57" spans="1:3" x14ac:dyDescent="0.25">
      <c r="A57" t="s">
        <v>431</v>
      </c>
      <c r="B57" s="84">
        <v>9.8699999999999992</v>
      </c>
    </row>
    <row r="58" spans="1:3" x14ac:dyDescent="0.25">
      <c r="A58" t="s">
        <v>432</v>
      </c>
      <c r="B58" s="84">
        <v>8.2100000000000009</v>
      </c>
      <c r="C58" t="s">
        <v>521</v>
      </c>
    </row>
    <row r="59" spans="1:3" x14ac:dyDescent="0.25">
      <c r="A59" t="s">
        <v>433</v>
      </c>
      <c r="B59" s="84">
        <v>7.25</v>
      </c>
    </row>
    <row r="60" spans="1:3" x14ac:dyDescent="0.25">
      <c r="A60" t="s">
        <v>434</v>
      </c>
      <c r="B60" s="84">
        <v>10.3</v>
      </c>
    </row>
    <row r="61" spans="1:3" x14ac:dyDescent="0.25">
      <c r="A61" t="s">
        <v>435</v>
      </c>
      <c r="B61" s="84">
        <v>4</v>
      </c>
      <c r="C61" t="s">
        <v>522</v>
      </c>
    </row>
    <row r="62" spans="1:3" x14ac:dyDescent="0.25">
      <c r="A62" t="s">
        <v>436</v>
      </c>
      <c r="B62" s="84">
        <v>9</v>
      </c>
    </row>
    <row r="63" spans="1:3" x14ac:dyDescent="0.25">
      <c r="A63" t="s">
        <v>490</v>
      </c>
      <c r="B63" s="84">
        <v>10.44</v>
      </c>
      <c r="C63" s="87"/>
    </row>
    <row r="64" spans="1:3" x14ac:dyDescent="0.25">
      <c r="A64" t="s">
        <v>437</v>
      </c>
      <c r="B64" s="84">
        <v>9.75</v>
      </c>
      <c r="C64" t="s">
        <v>467</v>
      </c>
    </row>
    <row r="65" spans="1:4" x14ac:dyDescent="0.25">
      <c r="A65" t="s">
        <v>438</v>
      </c>
      <c r="B65" s="84">
        <v>7.25</v>
      </c>
    </row>
    <row r="66" spans="1:4" x14ac:dyDescent="0.25">
      <c r="A66" t="s">
        <v>439</v>
      </c>
      <c r="B66" s="84">
        <v>12</v>
      </c>
    </row>
    <row r="67" spans="1:4" x14ac:dyDescent="0.25">
      <c r="A67" t="s">
        <v>440</v>
      </c>
      <c r="B67" s="84">
        <v>10.5</v>
      </c>
    </row>
    <row r="68" spans="1:4" x14ac:dyDescent="0.25">
      <c r="A68" t="s">
        <v>441</v>
      </c>
      <c r="B68" s="84">
        <v>12.5</v>
      </c>
    </row>
    <row r="69" spans="1:4" x14ac:dyDescent="0.25">
      <c r="A69" t="s">
        <v>488</v>
      </c>
      <c r="B69" s="84">
        <v>11.2</v>
      </c>
      <c r="C69" s="87"/>
      <c r="D69" s="88"/>
    </row>
    <row r="70" spans="1:4" x14ac:dyDescent="0.25">
      <c r="A70" t="s">
        <v>442</v>
      </c>
      <c r="B70" s="84">
        <v>7.25</v>
      </c>
      <c r="D70" s="88"/>
    </row>
    <row r="71" spans="1:4" x14ac:dyDescent="0.25">
      <c r="A71" t="s">
        <v>443</v>
      </c>
      <c r="B71" s="84">
        <v>7.25</v>
      </c>
      <c r="D71" s="88"/>
    </row>
    <row r="72" spans="1:4" x14ac:dyDescent="0.25">
      <c r="A72" t="s">
        <v>444</v>
      </c>
      <c r="B72" s="84">
        <v>7.25</v>
      </c>
      <c r="C72" t="s">
        <v>523</v>
      </c>
      <c r="D72" s="88"/>
    </row>
    <row r="73" spans="1:4" x14ac:dyDescent="0.25">
      <c r="A73" t="s">
        <v>445</v>
      </c>
      <c r="B73" s="84">
        <v>7.25</v>
      </c>
      <c r="D73" s="88"/>
    </row>
    <row r="74" spans="1:4" x14ac:dyDescent="0.25">
      <c r="A74" t="s">
        <v>446</v>
      </c>
      <c r="B74" s="84">
        <v>12.75</v>
      </c>
      <c r="D74" s="88"/>
    </row>
    <row r="75" spans="1:4" x14ac:dyDescent="0.25">
      <c r="A75" t="s">
        <v>447</v>
      </c>
      <c r="B75" s="84">
        <v>7.25</v>
      </c>
      <c r="D75" s="88"/>
    </row>
    <row r="76" spans="1:4" x14ac:dyDescent="0.25">
      <c r="A76" t="s">
        <v>508</v>
      </c>
      <c r="B76" s="84">
        <v>3.35</v>
      </c>
      <c r="C76" s="87"/>
      <c r="D76" s="88"/>
    </row>
    <row r="77" spans="1:4" x14ac:dyDescent="0.25">
      <c r="A77" t="s">
        <v>499</v>
      </c>
      <c r="B77" s="84">
        <v>5.76</v>
      </c>
      <c r="C77" s="87"/>
      <c r="D77" s="88"/>
    </row>
    <row r="78" spans="1:4" x14ac:dyDescent="0.25">
      <c r="A78" t="s">
        <v>448</v>
      </c>
      <c r="B78" s="84">
        <v>7.25</v>
      </c>
      <c r="D78" s="88"/>
    </row>
    <row r="79" spans="1:4" x14ac:dyDescent="0.25">
      <c r="A79" t="s">
        <v>484</v>
      </c>
      <c r="B79" s="84">
        <v>11.5</v>
      </c>
      <c r="D79" s="88"/>
    </row>
    <row r="80" spans="1:4" x14ac:dyDescent="0.25">
      <c r="A80" t="s">
        <v>511</v>
      </c>
      <c r="B80" s="84">
        <v>2.27</v>
      </c>
      <c r="C80" s="87"/>
      <c r="D80" s="88"/>
    </row>
    <row r="81" spans="1:4" x14ac:dyDescent="0.25">
      <c r="A81" t="s">
        <v>505</v>
      </c>
      <c r="B81" s="84">
        <v>3.43</v>
      </c>
      <c r="C81" s="87"/>
      <c r="D81" s="88"/>
    </row>
    <row r="82" spans="1:4" x14ac:dyDescent="0.25">
      <c r="A82" t="s">
        <v>500</v>
      </c>
      <c r="B82" s="84">
        <v>5.72</v>
      </c>
      <c r="C82" s="87"/>
      <c r="D82" s="88"/>
    </row>
    <row r="83" spans="1:4" x14ac:dyDescent="0.25">
      <c r="A83" t="s">
        <v>449</v>
      </c>
      <c r="B83" s="84">
        <v>7.25</v>
      </c>
      <c r="D83" s="88"/>
    </row>
    <row r="84" spans="1:4" x14ac:dyDescent="0.25">
      <c r="A84" t="s">
        <v>450</v>
      </c>
      <c r="B84" s="84">
        <v>9.4499999999999993</v>
      </c>
      <c r="D84" s="88"/>
    </row>
    <row r="85" spans="1:4" x14ac:dyDescent="0.25">
      <c r="A85" t="s">
        <v>497</v>
      </c>
      <c r="B85" s="84">
        <v>6.84</v>
      </c>
      <c r="C85" s="87"/>
      <c r="D85" s="88"/>
    </row>
    <row r="86" spans="1:4" x14ac:dyDescent="0.25">
      <c r="A86" t="s">
        <v>498</v>
      </c>
      <c r="B86" s="84">
        <v>5.83</v>
      </c>
      <c r="C86" s="87"/>
      <c r="D86" s="88"/>
    </row>
    <row r="87" spans="1:4" x14ac:dyDescent="0.25">
      <c r="A87" t="s">
        <v>451</v>
      </c>
      <c r="B87" s="84">
        <v>7.25</v>
      </c>
      <c r="D87" s="88"/>
    </row>
    <row r="88" spans="1:4" x14ac:dyDescent="0.25">
      <c r="A88" t="s">
        <v>452</v>
      </c>
      <c r="B88" s="84">
        <v>7.25</v>
      </c>
      <c r="D88" s="88"/>
    </row>
    <row r="89" spans="1:4" x14ac:dyDescent="0.25">
      <c r="A89" t="s">
        <v>514</v>
      </c>
      <c r="B89" s="84">
        <v>1.93</v>
      </c>
      <c r="C89" s="87"/>
      <c r="D89" s="88"/>
    </row>
    <row r="90" spans="1:4" x14ac:dyDescent="0.25">
      <c r="A90" t="s">
        <v>455</v>
      </c>
      <c r="B90" s="84">
        <v>10.5</v>
      </c>
      <c r="D90" s="88"/>
    </row>
    <row r="91" spans="1:4" x14ac:dyDescent="0.25">
      <c r="A91" t="s">
        <v>492</v>
      </c>
      <c r="B91" s="84">
        <v>10.34</v>
      </c>
      <c r="C91" s="87"/>
      <c r="D91" s="88"/>
    </row>
    <row r="92" spans="1:4" x14ac:dyDescent="0.25">
      <c r="A92" t="s">
        <v>496</v>
      </c>
      <c r="B92" s="84">
        <v>7.25</v>
      </c>
      <c r="C92" s="89"/>
      <c r="D92" s="88"/>
    </row>
    <row r="93" spans="1:4" x14ac:dyDescent="0.25">
      <c r="A93" t="s">
        <v>453</v>
      </c>
      <c r="B93" s="84">
        <v>7.25</v>
      </c>
      <c r="D93" s="88"/>
    </row>
    <row r="94" spans="1:4" x14ac:dyDescent="0.25">
      <c r="A94" t="s">
        <v>454</v>
      </c>
      <c r="B94" s="84">
        <v>11.75</v>
      </c>
      <c r="D94" s="88"/>
    </row>
    <row r="95" spans="1:4" x14ac:dyDescent="0.25">
      <c r="A95" t="s">
        <v>456</v>
      </c>
      <c r="B95" s="84">
        <v>9.5</v>
      </c>
      <c r="D95" s="88"/>
    </row>
    <row r="96" spans="1:4" x14ac:dyDescent="0.25">
      <c r="A96" t="s">
        <v>457</v>
      </c>
      <c r="B96" s="84">
        <v>13.69</v>
      </c>
      <c r="D96" s="88"/>
    </row>
    <row r="97" spans="1:4" x14ac:dyDescent="0.25">
      <c r="A97" t="s">
        <v>458</v>
      </c>
      <c r="B97" s="84">
        <v>8.75</v>
      </c>
      <c r="D97" s="88"/>
    </row>
    <row r="98" spans="1:4" x14ac:dyDescent="0.25">
      <c r="A98" t="s">
        <v>459</v>
      </c>
      <c r="B98" s="84">
        <v>7.25</v>
      </c>
      <c r="D98" s="88"/>
    </row>
    <row r="99" spans="1:4" x14ac:dyDescent="0.25">
      <c r="A99" t="s">
        <v>460</v>
      </c>
      <c r="B99" s="84">
        <v>7.25</v>
      </c>
      <c r="C99" t="s">
        <v>468</v>
      </c>
      <c r="D99" s="88"/>
    </row>
  </sheetData>
  <sheetProtection password="C979" sheet="1" objects="1" scenarios="1"/>
  <dataValidations count="2">
    <dataValidation type="list" allowBlank="1" showInputMessage="1" showErrorMessage="1" sqref="B5:B7" xr:uid="{00000000-0002-0000-0300-000000000000}">
      <formula1>"Yes,No"</formula1>
    </dataValidation>
    <dataValidation type="list" allowBlank="1" showInputMessage="1" showErrorMessage="1" sqref="A11" xr:uid="{00000000-0002-0000-0300-000001000000}">
      <formula1>INDIRECT("MinWage[State]")</formula1>
    </dataValidation>
  </dataValidations>
  <pageMargins left="0.7" right="0.7" top="0.75" bottom="0.75" header="0.3" footer="0.3"/>
  <pageSetup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sheetPr>
  <dimension ref="A1:AR135"/>
  <sheetViews>
    <sheetView zoomScaleNormal="100" workbookViewId="0">
      <selection activeCell="G3" sqref="G3"/>
    </sheetView>
  </sheetViews>
  <sheetFormatPr defaultRowHeight="15" x14ac:dyDescent="0.25"/>
  <cols>
    <col min="1" max="1" width="7.28515625" bestFit="1" customWidth="1"/>
    <col min="2" max="2" width="14.42578125" customWidth="1"/>
    <col min="3" max="3" width="14.28515625" customWidth="1"/>
    <col min="4" max="4" width="11.5703125" bestFit="1" customWidth="1"/>
    <col min="5" max="5" width="4.28515625" style="1" bestFit="1" customWidth="1"/>
    <col min="6" max="6" width="18.7109375" customWidth="1"/>
    <col min="7" max="7" width="15" bestFit="1" customWidth="1"/>
    <col min="8" max="8" width="8.42578125" bestFit="1" customWidth="1"/>
    <col min="9" max="9" width="24.85546875" bestFit="1" customWidth="1"/>
    <col min="11" max="11" width="11.7109375" bestFit="1" customWidth="1"/>
    <col min="12" max="12" width="14.85546875" bestFit="1" customWidth="1"/>
    <col min="13" max="13" width="6.85546875" bestFit="1" customWidth="1"/>
    <col min="15" max="15" width="14" bestFit="1" customWidth="1"/>
    <col min="16" max="16" width="9.7109375" bestFit="1" customWidth="1"/>
    <col min="17" max="17" width="9.5703125" bestFit="1" customWidth="1"/>
    <col min="18" max="18" width="9.7109375" customWidth="1"/>
    <col min="19" max="19" width="10.7109375" customWidth="1"/>
    <col min="20" max="20" width="10.7109375" bestFit="1" customWidth="1"/>
    <col min="21" max="21" width="10.5703125" bestFit="1" customWidth="1"/>
    <col min="22" max="22" width="10.140625" bestFit="1" customWidth="1"/>
    <col min="23" max="23" width="11.7109375" bestFit="1" customWidth="1"/>
    <col min="24" max="24" width="9.7109375" bestFit="1" customWidth="1"/>
    <col min="25" max="25" width="7.85546875" bestFit="1" customWidth="1"/>
    <col min="26" max="26" width="18" bestFit="1" customWidth="1"/>
    <col min="27" max="27" width="2.85546875" customWidth="1"/>
    <col min="28" max="28" width="16.140625" bestFit="1" customWidth="1"/>
    <col min="29" max="29" width="21" bestFit="1" customWidth="1"/>
    <col min="30" max="30" width="24.85546875" bestFit="1" customWidth="1"/>
    <col min="31" max="31" width="21.85546875" style="20" bestFit="1" customWidth="1"/>
    <col min="33" max="33" width="24.85546875" bestFit="1" customWidth="1"/>
    <col min="34" max="34" width="5" customWidth="1"/>
    <col min="36" max="36" width="15" bestFit="1" customWidth="1"/>
    <col min="38" max="38" width="38.85546875" bestFit="1" customWidth="1"/>
    <col min="39" max="39" width="24.85546875" bestFit="1" customWidth="1"/>
    <col min="41" max="41" width="24.5703125" bestFit="1" customWidth="1"/>
    <col min="42" max="42" width="10.5703125" bestFit="1" customWidth="1"/>
    <col min="43" max="43" width="10" customWidth="1"/>
    <col min="44" max="44" width="97.85546875" bestFit="1" customWidth="1"/>
  </cols>
  <sheetData>
    <row r="1" spans="1:44" ht="30" x14ac:dyDescent="0.25">
      <c r="A1" s="30" t="s">
        <v>106</v>
      </c>
      <c r="B1" s="30" t="s">
        <v>107</v>
      </c>
      <c r="C1" s="29" t="s">
        <v>54</v>
      </c>
      <c r="D1" s="31" t="s">
        <v>55</v>
      </c>
      <c r="E1" s="32" t="s">
        <v>108</v>
      </c>
      <c r="F1" s="40" t="s">
        <v>109</v>
      </c>
      <c r="G1" s="36" t="s">
        <v>112</v>
      </c>
      <c r="H1" s="30" t="s">
        <v>308</v>
      </c>
      <c r="K1" s="129" t="s">
        <v>561</v>
      </c>
      <c r="L1" s="129" t="s">
        <v>562</v>
      </c>
      <c r="M1" s="129" t="s">
        <v>670</v>
      </c>
      <c r="Q1" t="s">
        <v>137</v>
      </c>
      <c r="S1" s="26" t="s">
        <v>75</v>
      </c>
      <c r="T1" s="41" t="s">
        <v>76</v>
      </c>
      <c r="U1" s="26" t="s">
        <v>81</v>
      </c>
      <c r="V1" s="42" t="s">
        <v>18</v>
      </c>
      <c r="W1" s="42" t="s">
        <v>19</v>
      </c>
      <c r="X1" t="s">
        <v>78</v>
      </c>
      <c r="Y1" s="42" t="s">
        <v>79</v>
      </c>
      <c r="Z1" t="s">
        <v>77</v>
      </c>
      <c r="AB1" s="64" t="s">
        <v>281</v>
      </c>
      <c r="AC1" s="64" t="s">
        <v>282</v>
      </c>
      <c r="AE1" s="20" t="s">
        <v>62</v>
      </c>
      <c r="AF1" s="20" t="s">
        <v>135</v>
      </c>
      <c r="AI1" s="53" t="s">
        <v>141</v>
      </c>
      <c r="AJ1" s="53" t="s">
        <v>284</v>
      </c>
      <c r="AL1" s="28" t="s">
        <v>165</v>
      </c>
      <c r="AO1" t="s">
        <v>221</v>
      </c>
      <c r="AP1" t="s">
        <v>228</v>
      </c>
      <c r="AR1" t="s">
        <v>69</v>
      </c>
    </row>
    <row r="2" spans="1:44" x14ac:dyDescent="0.25">
      <c r="A2" t="s">
        <v>116</v>
      </c>
      <c r="B2" s="2" t="s">
        <v>116</v>
      </c>
      <c r="C2" s="33" t="s">
        <v>116</v>
      </c>
      <c r="D2" s="62" t="s">
        <v>116</v>
      </c>
      <c r="E2" s="17" t="s">
        <v>116</v>
      </c>
      <c r="F2" s="17" t="str">
        <f>BAH[[#This Row],[Year]] &amp; BAH[[#This Row],[Rank]]</f>
        <v>xx</v>
      </c>
      <c r="G2" t="s">
        <v>116</v>
      </c>
      <c r="H2" t="s">
        <v>116</v>
      </c>
      <c r="I2" s="56" t="s">
        <v>205</v>
      </c>
      <c r="J2" s="56"/>
      <c r="K2" s="128" t="s">
        <v>20</v>
      </c>
      <c r="L2" s="128" t="s">
        <v>675</v>
      </c>
      <c r="M2" s="130">
        <v>1</v>
      </c>
      <c r="N2" s="56"/>
      <c r="O2" t="s">
        <v>13</v>
      </c>
      <c r="P2" s="25"/>
      <c r="Q2" s="47" t="s">
        <v>160</v>
      </c>
      <c r="R2" s="25"/>
      <c r="S2" s="125">
        <v>45279</v>
      </c>
      <c r="T2" s="120">
        <f>TFI_Lookup[[#This Row],[End0]] + Fee_Override</f>
        <v>45565</v>
      </c>
      <c r="U2" s="120">
        <v>45565</v>
      </c>
      <c r="V2" s="121">
        <f t="shared" ref="V2:V13" si="0">IFERROR(MAX(0.01, MID(SUBSTITUTE(Z2, "$", ""), 1, FIND("-", SUBSTITUTE(SUBSTITUTE(SUBSTITUTE(Z2, "$", ""), "+", "-"), "–", "-")) - 1) + 0), "")</f>
        <v>1</v>
      </c>
      <c r="W2" s="121">
        <f>IF(TFI_Lookup[[#This Row],[Income range]] = "", "", IFERROR(MID(SUBSTITUTE(Z2, "$", ""), FIND("-", SUBSTITUTE(SUBSTITUTE(Z2, "$", ""), "–", "-")) + 1, 999), 9999999) + 0 + 0.99)</f>
        <v>45000.99</v>
      </c>
      <c r="X2" s="122">
        <v>1</v>
      </c>
      <c r="Y2" s="123" t="str">
        <f>IF(TFI_Lookup[[#This Row],[CAT]] = "SA", CONSA, "CAT" &amp; RIGHT("0" &amp; TFI_Lookup[[#This Row],[CAT]], 2))</f>
        <v>CAT01</v>
      </c>
      <c r="Z2" s="126" t="s">
        <v>539</v>
      </c>
      <c r="AB2" t="s">
        <v>375</v>
      </c>
      <c r="AC2" t="s">
        <v>376</v>
      </c>
      <c r="AD2" s="56"/>
      <c r="AF2" s="20"/>
      <c r="AG2" s="56" t="s">
        <v>205</v>
      </c>
      <c r="AH2" s="56"/>
      <c r="AI2" t="s">
        <v>142</v>
      </c>
      <c r="AJ2" t="s">
        <v>186</v>
      </c>
      <c r="AL2" s="28"/>
      <c r="AM2" s="56" t="s">
        <v>205</v>
      </c>
      <c r="AO2" s="65"/>
      <c r="AP2" s="65" t="s">
        <v>303</v>
      </c>
      <c r="AQ2" s="56"/>
      <c r="AR2" s="19" t="s">
        <v>80</v>
      </c>
    </row>
    <row r="3" spans="1:44" x14ac:dyDescent="0.25">
      <c r="A3">
        <v>2023</v>
      </c>
      <c r="B3" s="2" t="s">
        <v>82</v>
      </c>
      <c r="C3" s="33">
        <v>2762.4</v>
      </c>
      <c r="D3" s="135">
        <v>316.98</v>
      </c>
      <c r="E3" s="17">
        <v>1</v>
      </c>
      <c r="F3" s="17" t="str">
        <f>BAH[[#This Row],[Year]] &amp; BAH[[#This Row],[Rank]]</f>
        <v>2023O-10</v>
      </c>
      <c r="G3" t="s">
        <v>111</v>
      </c>
      <c r="H3" s="21">
        <v>21</v>
      </c>
      <c r="K3" s="128" t="s">
        <v>105</v>
      </c>
      <c r="L3" s="128" t="s">
        <v>564</v>
      </c>
      <c r="M3" s="132">
        <v>2</v>
      </c>
      <c r="O3" t="s">
        <v>14</v>
      </c>
      <c r="P3" s="26"/>
      <c r="Q3" s="47" t="s">
        <v>161</v>
      </c>
      <c r="R3" s="26"/>
      <c r="S3" s="125">
        <v>45279</v>
      </c>
      <c r="T3" s="120">
        <f>TFI_Lookup[[#This Row],[End0]] + Fee_Override</f>
        <v>45565</v>
      </c>
      <c r="U3" s="120">
        <v>45565</v>
      </c>
      <c r="V3" s="121">
        <f t="shared" si="0"/>
        <v>45001</v>
      </c>
      <c r="W3" s="121">
        <f>IF(TFI_Lookup[[#This Row],[Income range]] = "", "", IFERROR(MID(SUBSTITUTE(Z3, "$", ""), FIND("-", SUBSTITUTE(SUBSTITUTE(Z3, "$", ""), "–", "-")) + 1, 999), 9999999) + 0 + 0.99)</f>
        <v>55000.99</v>
      </c>
      <c r="X3" s="122">
        <v>2</v>
      </c>
      <c r="Y3" s="123" t="str">
        <f>IF(TFI_Lookup[[#This Row],[CAT]] = "SA", CONSA, "CAT" &amp; RIGHT("0" &amp; TFI_Lookup[[#This Row],[CAT]], 2))</f>
        <v>CAT02</v>
      </c>
      <c r="Z3" s="126" t="s">
        <v>540</v>
      </c>
      <c r="AE3" s="20" t="s">
        <v>61</v>
      </c>
      <c r="AF3" s="20" t="s">
        <v>138</v>
      </c>
      <c r="AI3" t="s">
        <v>143</v>
      </c>
      <c r="AL3" s="28" t="s">
        <v>203</v>
      </c>
      <c r="AO3" s="57" t="s">
        <v>202</v>
      </c>
      <c r="AP3" s="57" t="s">
        <v>223</v>
      </c>
      <c r="AR3" s="19" t="s">
        <v>70</v>
      </c>
    </row>
    <row r="4" spans="1:44" x14ac:dyDescent="0.25">
      <c r="A4">
        <v>2023</v>
      </c>
      <c r="B4" s="2" t="s">
        <v>83</v>
      </c>
      <c r="C4" s="33">
        <v>2762.4</v>
      </c>
      <c r="D4" s="135">
        <v>316.98</v>
      </c>
      <c r="E4" s="17">
        <v>2</v>
      </c>
      <c r="F4" s="17" t="str">
        <f>BAH[[#This Row],[Year]] &amp; BAH[[#This Row],[Rank]]</f>
        <v>2023O-9</v>
      </c>
      <c r="G4" t="s">
        <v>111</v>
      </c>
      <c r="H4" s="21">
        <v>20</v>
      </c>
      <c r="K4" s="128" t="s">
        <v>105</v>
      </c>
      <c r="L4" s="128" t="s">
        <v>571</v>
      </c>
      <c r="M4" s="132">
        <v>3</v>
      </c>
      <c r="O4" t="s">
        <v>15</v>
      </c>
      <c r="Q4" s="47" t="s">
        <v>162</v>
      </c>
      <c r="S4" s="125">
        <v>45279</v>
      </c>
      <c r="T4" s="120">
        <f>TFI_Lookup[[#This Row],[End0]] + Fee_Override</f>
        <v>45565</v>
      </c>
      <c r="U4" s="120">
        <v>45565</v>
      </c>
      <c r="V4" s="121">
        <f t="shared" si="0"/>
        <v>55001</v>
      </c>
      <c r="W4" s="121">
        <f>IF(TFI_Lookup[[#This Row],[Income range]] = "", "", IFERROR(MID(SUBSTITUTE(Z4, "$", ""), FIND("-", SUBSTITUTE(SUBSTITUTE(Z4, "$", ""), "–", "-")) + 1, 999), 9999999) + 0 + 0.99)</f>
        <v>65000.99</v>
      </c>
      <c r="X4" s="122">
        <v>3</v>
      </c>
      <c r="Y4" s="127" t="str">
        <f>IF(TFI_Lookup[[#This Row],[CAT]] = "SA", CONSA, "CAT" &amp; RIGHT("0" &amp; TFI_Lookup[[#This Row],[CAT]], 2))</f>
        <v>CAT03</v>
      </c>
      <c r="Z4" s="126" t="s">
        <v>541</v>
      </c>
      <c r="AE4" s="20" t="s">
        <v>60</v>
      </c>
      <c r="AF4" s="20" t="s">
        <v>138</v>
      </c>
      <c r="AI4" t="s">
        <v>144</v>
      </c>
      <c r="AL4" s="28" t="s">
        <v>231</v>
      </c>
      <c r="AO4" s="57" t="s">
        <v>199</v>
      </c>
      <c r="AP4" s="57" t="s">
        <v>222</v>
      </c>
      <c r="AR4" s="19" t="s">
        <v>72</v>
      </c>
    </row>
    <row r="5" spans="1:44" x14ac:dyDescent="0.25">
      <c r="A5">
        <v>2023</v>
      </c>
      <c r="B5" s="2" t="s">
        <v>84</v>
      </c>
      <c r="C5" s="33">
        <v>2762.4</v>
      </c>
      <c r="D5" s="135">
        <v>316.98</v>
      </c>
      <c r="E5" s="17">
        <v>3</v>
      </c>
      <c r="F5" s="17" t="str">
        <f>BAH[[#This Row],[Year]] &amp; BAH[[#This Row],[Rank]]</f>
        <v>2023O-8</v>
      </c>
      <c r="G5" t="s">
        <v>111</v>
      </c>
      <c r="H5" s="21">
        <v>19</v>
      </c>
      <c r="K5" s="128" t="s">
        <v>105</v>
      </c>
      <c r="L5" s="128" t="s">
        <v>572</v>
      </c>
      <c r="M5" s="132">
        <v>4</v>
      </c>
      <c r="O5" t="s">
        <v>16</v>
      </c>
      <c r="Q5" s="47" t="s">
        <v>163</v>
      </c>
      <c r="S5" s="125">
        <v>45279</v>
      </c>
      <c r="T5" s="120">
        <f>TFI_Lookup[[#This Row],[End0]] + Fee_Override</f>
        <v>45565</v>
      </c>
      <c r="U5" s="120">
        <v>45565</v>
      </c>
      <c r="V5" s="121">
        <f t="shared" si="0"/>
        <v>65001</v>
      </c>
      <c r="W5" s="121">
        <f>IF(TFI_Lookup[[#This Row],[Income range]] = "", "", IFERROR(MID(SUBSTITUTE(Z5, "$", ""), FIND("-", SUBSTITUTE(SUBSTITUTE(Z5, "$", ""), "–", "-")) + 1, 999), 9999999) + 0 + 0.99)</f>
        <v>77500.990000000005</v>
      </c>
      <c r="X5" s="122">
        <v>4</v>
      </c>
      <c r="Y5" s="127" t="str">
        <f>IF(TFI_Lookup[[#This Row],[CAT]] = "SA", CONSA, "CAT" &amp; RIGHT("0" &amp; TFI_Lookup[[#This Row],[CAT]], 2))</f>
        <v>CAT04</v>
      </c>
      <c r="Z5" s="126" t="s">
        <v>542</v>
      </c>
      <c r="AE5" s="20" t="s">
        <v>63</v>
      </c>
      <c r="AF5" s="20" t="s">
        <v>138</v>
      </c>
      <c r="AI5" t="s">
        <v>145</v>
      </c>
      <c r="AL5" s="28" t="s">
        <v>232</v>
      </c>
      <c r="AO5" s="57" t="s">
        <v>377</v>
      </c>
      <c r="AP5" s="57" t="s">
        <v>338</v>
      </c>
      <c r="AR5" s="19" t="s">
        <v>71</v>
      </c>
    </row>
    <row r="6" spans="1:44" x14ac:dyDescent="0.25">
      <c r="A6">
        <v>2023</v>
      </c>
      <c r="B6" s="2" t="s">
        <v>85</v>
      </c>
      <c r="C6" s="33">
        <v>2762.4</v>
      </c>
      <c r="D6" s="135">
        <v>316.98</v>
      </c>
      <c r="E6" s="17">
        <v>4</v>
      </c>
      <c r="F6" s="17" t="str">
        <f>BAH[[#This Row],[Year]] &amp; BAH[[#This Row],[Rank]]</f>
        <v>2023O-7</v>
      </c>
      <c r="G6" t="s">
        <v>111</v>
      </c>
      <c r="H6" s="21">
        <v>18</v>
      </c>
      <c r="K6" s="128" t="s">
        <v>102</v>
      </c>
      <c r="L6" s="128" t="s">
        <v>573</v>
      </c>
      <c r="M6" s="132">
        <v>5</v>
      </c>
      <c r="O6" t="s">
        <v>17</v>
      </c>
      <c r="S6" s="125">
        <v>45279</v>
      </c>
      <c r="T6" s="120">
        <f>TFI_Lookup[[#This Row],[End0]] + Fee_Override</f>
        <v>45565</v>
      </c>
      <c r="U6" s="120">
        <v>45565</v>
      </c>
      <c r="V6" s="121">
        <f t="shared" si="0"/>
        <v>77501</v>
      </c>
      <c r="W6" s="121">
        <f>IF(TFI_Lookup[[#This Row],[Income range]] = "", "", IFERROR(MID(SUBSTITUTE(Z6, "$", ""), FIND("-", SUBSTITUTE(SUBSTITUTE(Z6, "$", ""), "–", "-")) + 1, 999), 9999999) + 0 + 0.99)</f>
        <v>90000.99</v>
      </c>
      <c r="X6" s="122">
        <v>5</v>
      </c>
      <c r="Y6" s="127" t="str">
        <f>IF(TFI_Lookup[[#This Row],[CAT]] = "SA", CONSA, "CAT" &amp; RIGHT("0" &amp; TFI_Lookup[[#This Row],[CAT]], 2))</f>
        <v>CAT05</v>
      </c>
      <c r="Z6" s="126" t="s">
        <v>543</v>
      </c>
      <c r="AE6" s="20" t="s">
        <v>56</v>
      </c>
      <c r="AF6" s="20" t="s">
        <v>138</v>
      </c>
      <c r="AI6" t="s">
        <v>146</v>
      </c>
      <c r="AL6" s="28" t="s">
        <v>233</v>
      </c>
      <c r="AO6" s="57" t="s">
        <v>166</v>
      </c>
      <c r="AP6" s="57" t="s">
        <v>224</v>
      </c>
      <c r="AR6" s="19" t="str">
        <f ca="1">INFO("directory")</f>
        <v>F:\CYMS\Annual Fee Policy\SY24 (2023-2024)\Scott's drafts\</v>
      </c>
    </row>
    <row r="7" spans="1:44" x14ac:dyDescent="0.25">
      <c r="A7">
        <v>2023</v>
      </c>
      <c r="B7" s="2" t="s">
        <v>86</v>
      </c>
      <c r="C7" s="33">
        <v>2486.4</v>
      </c>
      <c r="D7" s="135">
        <v>316.98</v>
      </c>
      <c r="E7" s="17">
        <v>5</v>
      </c>
      <c r="F7" s="17" t="str">
        <f>BAH[[#This Row],[Year]] &amp; BAH[[#This Row],[Rank]]</f>
        <v>2023O-6</v>
      </c>
      <c r="G7" t="s">
        <v>111</v>
      </c>
      <c r="H7" s="21">
        <v>17</v>
      </c>
      <c r="K7" s="128" t="s">
        <v>101</v>
      </c>
      <c r="L7" s="128" t="s">
        <v>574</v>
      </c>
      <c r="M7" s="132">
        <v>6</v>
      </c>
      <c r="O7" t="s">
        <v>6</v>
      </c>
      <c r="S7" s="125">
        <v>45279</v>
      </c>
      <c r="T7" s="120">
        <f>TFI_Lookup[[#This Row],[End0]] + Fee_Override</f>
        <v>45565</v>
      </c>
      <c r="U7" s="120">
        <v>45565</v>
      </c>
      <c r="V7" s="121">
        <f t="shared" si="0"/>
        <v>90001</v>
      </c>
      <c r="W7" s="121">
        <f>IF(TFI_Lookup[[#This Row],[Income range]] = "", "", IFERROR(MID(SUBSTITUTE(Z7, "$", ""), FIND("-", SUBSTITUTE(SUBSTITUTE(Z7, "$", ""), "–", "-")) + 1, 999), 9999999) + 0 + 0.99)</f>
        <v>102500.99</v>
      </c>
      <c r="X7" s="122">
        <v>6</v>
      </c>
      <c r="Y7" s="127" t="str">
        <f>IF(TFI_Lookup[[#This Row],[CAT]] = "SA", CONSA, "CAT" &amp; RIGHT("0" &amp; TFI_Lookup[[#This Row],[CAT]], 2))</f>
        <v>CAT06</v>
      </c>
      <c r="Z7" s="126" t="s">
        <v>544</v>
      </c>
      <c r="AE7" s="20" t="s">
        <v>57</v>
      </c>
      <c r="AF7" s="20" t="s">
        <v>138</v>
      </c>
      <c r="AI7" t="s">
        <v>147</v>
      </c>
      <c r="AL7" s="28" t="s">
        <v>234</v>
      </c>
      <c r="AO7" s="57" t="s">
        <v>204</v>
      </c>
      <c r="AP7" s="57" t="s">
        <v>225</v>
      </c>
      <c r="AR7" s="27" t="s">
        <v>73</v>
      </c>
    </row>
    <row r="8" spans="1:44" ht="30" x14ac:dyDescent="0.25">
      <c r="A8">
        <v>2023</v>
      </c>
      <c r="B8" s="2" t="s">
        <v>87</v>
      </c>
      <c r="C8" s="33">
        <v>2396.6999999999998</v>
      </c>
      <c r="D8" s="135">
        <v>316.98</v>
      </c>
      <c r="E8" s="17">
        <v>6</v>
      </c>
      <c r="F8" s="17" t="str">
        <f>BAH[[#This Row],[Year]] &amp; BAH[[#This Row],[Rank]]</f>
        <v>2023O-5</v>
      </c>
      <c r="G8" t="s">
        <v>111</v>
      </c>
      <c r="H8" s="21">
        <v>16</v>
      </c>
      <c r="K8" s="128" t="s">
        <v>99</v>
      </c>
      <c r="L8" s="128" t="s">
        <v>575</v>
      </c>
      <c r="M8" s="132">
        <v>7</v>
      </c>
      <c r="Q8" s="47" t="s">
        <v>531</v>
      </c>
      <c r="S8" s="125">
        <v>45279</v>
      </c>
      <c r="T8" s="120">
        <f>TFI_Lookup[[#This Row],[End0]] + Fee_Override</f>
        <v>45565</v>
      </c>
      <c r="U8" s="120">
        <v>45565</v>
      </c>
      <c r="V8" s="121">
        <f t="shared" si="0"/>
        <v>102501</v>
      </c>
      <c r="W8" s="121">
        <f>IF(TFI_Lookup[[#This Row],[Income range]] = "", "", IFERROR(MID(SUBSTITUTE(Z8, "$", ""), FIND("-", SUBSTITUTE(SUBSTITUTE(Z8, "$", ""), "–", "-")) + 1, 999), 9999999) + 0 + 0.99)</f>
        <v>115000.99</v>
      </c>
      <c r="X8" s="122">
        <v>7</v>
      </c>
      <c r="Y8" s="127" t="str">
        <f>IF(TFI_Lookup[[#This Row],[CAT]] = "SA", CONSA, "CAT" &amp; RIGHT("0" &amp; TFI_Lookup[[#This Row],[CAT]], 2))</f>
        <v>CAT07</v>
      </c>
      <c r="Z8" s="126" t="s">
        <v>545</v>
      </c>
      <c r="AE8" s="20" t="s">
        <v>400</v>
      </c>
      <c r="AF8" s="20" t="s">
        <v>138</v>
      </c>
      <c r="AI8" t="s">
        <v>148</v>
      </c>
      <c r="AL8" s="28" t="s">
        <v>235</v>
      </c>
      <c r="AO8" s="58" t="s">
        <v>200</v>
      </c>
      <c r="AP8" s="58" t="s">
        <v>226</v>
      </c>
      <c r="AR8" s="19" t="str">
        <f ca="1">CELL("filename")</f>
        <v>F:\CYMS\Annual Fee Policy\SY24 (2023-2024)\Scott's drafts\[SY24 TFI_Calculator_Jan2024_thru_Sep2024_(20231220).xlsx]Calculation Worksheet</v>
      </c>
    </row>
    <row r="9" spans="1:44" ht="30" x14ac:dyDescent="0.25">
      <c r="A9">
        <v>2023</v>
      </c>
      <c r="B9" s="2" t="s">
        <v>88</v>
      </c>
      <c r="C9" s="33">
        <v>2112.3000000000002</v>
      </c>
      <c r="D9" s="135">
        <v>316.98</v>
      </c>
      <c r="E9" s="17">
        <v>7</v>
      </c>
      <c r="F9" s="17" t="str">
        <f>BAH[[#This Row],[Year]] &amp; BAH[[#This Row],[Rank]]</f>
        <v>2023O-4</v>
      </c>
      <c r="G9" t="s">
        <v>111</v>
      </c>
      <c r="H9" s="21">
        <v>15</v>
      </c>
      <c r="K9" s="128" t="s">
        <v>94</v>
      </c>
      <c r="L9" s="128" t="s">
        <v>576</v>
      </c>
      <c r="M9" s="132">
        <v>8</v>
      </c>
      <c r="Q9" s="47" t="s">
        <v>531</v>
      </c>
      <c r="S9" s="125">
        <v>45279</v>
      </c>
      <c r="T9" s="120">
        <f>TFI_Lookup[[#This Row],[End0]] + Fee_Override</f>
        <v>45565</v>
      </c>
      <c r="U9" s="120">
        <v>45565</v>
      </c>
      <c r="V9" s="121">
        <f t="shared" si="0"/>
        <v>115001</v>
      </c>
      <c r="W9" s="121">
        <f>IF(TFI_Lookup[[#This Row],[Income range]] = "", "", IFERROR(MID(SUBSTITUTE(Z9, "$", ""), FIND("-", SUBSTITUTE(SUBSTITUTE(Z9, "$", ""), "–", "-")) + 1, 999), 9999999) + 0 + 0.99)</f>
        <v>130000.99</v>
      </c>
      <c r="X9" s="122">
        <v>8</v>
      </c>
      <c r="Y9" s="123" t="str">
        <f>IF(TFI_Lookup[[#This Row],[CAT]] = "SA", CONSA, "CAT" &amp; RIGHT("0" &amp; TFI_Lookup[[#This Row],[CAT]], 2))</f>
        <v>CAT08</v>
      </c>
      <c r="Z9" s="126" t="s">
        <v>546</v>
      </c>
      <c r="AE9" s="20" t="s">
        <v>399</v>
      </c>
      <c r="AF9" s="20" t="s">
        <v>138</v>
      </c>
      <c r="AI9" t="s">
        <v>149</v>
      </c>
      <c r="AL9" s="28" t="s">
        <v>236</v>
      </c>
      <c r="AO9" s="57" t="s">
        <v>201</v>
      </c>
      <c r="AP9" s="57" t="s">
        <v>227</v>
      </c>
      <c r="AR9" s="19" t="s">
        <v>48</v>
      </c>
    </row>
    <row r="10" spans="1:44" ht="30" x14ac:dyDescent="0.25">
      <c r="A10">
        <v>2023</v>
      </c>
      <c r="B10" s="2" t="s">
        <v>89</v>
      </c>
      <c r="C10" s="33">
        <v>1747.8</v>
      </c>
      <c r="D10" s="135">
        <v>316.98</v>
      </c>
      <c r="E10" s="17">
        <v>9</v>
      </c>
      <c r="F10" s="17" t="str">
        <f>BAH[[#This Row],[Year]] &amp; BAH[[#This Row],[Rank]]</f>
        <v>2023O-3</v>
      </c>
      <c r="G10" t="s">
        <v>111</v>
      </c>
      <c r="H10" s="21">
        <v>14</v>
      </c>
      <c r="K10" s="128" t="s">
        <v>94</v>
      </c>
      <c r="L10" s="128" t="s">
        <v>577</v>
      </c>
      <c r="M10" s="132">
        <v>9</v>
      </c>
      <c r="S10" s="125">
        <v>45279</v>
      </c>
      <c r="T10" s="120">
        <f>TFI_Lookup[[#This Row],[End0]] + Fee_Override</f>
        <v>45565</v>
      </c>
      <c r="U10" s="120">
        <v>45565</v>
      </c>
      <c r="V10" s="121">
        <f t="shared" si="0"/>
        <v>130001</v>
      </c>
      <c r="W10" s="121">
        <f>IF(TFI_Lookup[[#This Row],[Income range]] = "", "", IFERROR(MID(SUBSTITUTE(Z10, "$", ""), FIND("-", SUBSTITUTE(SUBSTITUTE(Z10, "$", ""), "–", "-")) + 1, 999), 9999999) + 0 + 0.99)</f>
        <v>145000.99</v>
      </c>
      <c r="X10" s="122">
        <v>9</v>
      </c>
      <c r="Y10" s="123" t="str">
        <f>IF(TFI_Lookup[[#This Row],[CAT]] = "SA", CONSA, "CAT" &amp; RIGHT("0" &amp; TFI_Lookup[[#This Row],[CAT]], 2))</f>
        <v>CAT09</v>
      </c>
      <c r="Z10" s="126" t="s">
        <v>547</v>
      </c>
      <c r="AE10" s="20" t="s">
        <v>401</v>
      </c>
      <c r="AF10" s="20" t="s">
        <v>138</v>
      </c>
      <c r="AI10" t="s">
        <v>150</v>
      </c>
      <c r="AL10" s="28" t="s">
        <v>237</v>
      </c>
      <c r="AO10" s="58"/>
      <c r="AP10" s="58"/>
    </row>
    <row r="11" spans="1:44" ht="30" x14ac:dyDescent="0.25">
      <c r="A11">
        <v>2023</v>
      </c>
      <c r="B11" s="2" t="s">
        <v>90</v>
      </c>
      <c r="C11" s="33">
        <v>1491.3</v>
      </c>
      <c r="D11" s="135">
        <v>316.98</v>
      </c>
      <c r="E11" s="17">
        <v>11</v>
      </c>
      <c r="F11" s="17" t="str">
        <f>BAH[[#This Row],[Year]] &amp; BAH[[#This Row],[Rank]]</f>
        <v>2023O-2</v>
      </c>
      <c r="G11" t="s">
        <v>111</v>
      </c>
      <c r="H11" s="21">
        <v>13</v>
      </c>
      <c r="K11" s="128" t="s">
        <v>96</v>
      </c>
      <c r="L11" s="128" t="s">
        <v>578</v>
      </c>
      <c r="M11" s="132">
        <v>10</v>
      </c>
      <c r="S11" s="125">
        <v>45279</v>
      </c>
      <c r="T11" s="120">
        <f>TFI_Lookup[[#This Row],[End0]] + Fee_Override</f>
        <v>45565</v>
      </c>
      <c r="U11" s="120">
        <v>45565</v>
      </c>
      <c r="V11" s="121">
        <f t="shared" si="0"/>
        <v>145001</v>
      </c>
      <c r="W11" s="121">
        <f>IF(TFI_Lookup[[#This Row],[Income range]] = "", "", IFERROR(MID(SUBSTITUTE(Z11, "$", ""), FIND("-", SUBSTITUTE(SUBSTITUTE(Z11, "$", ""), "–", "-")) + 1, 999), 9999999) + 0 + 0.99)</f>
        <v>160000.99</v>
      </c>
      <c r="X11" s="122">
        <v>10</v>
      </c>
      <c r="Y11" s="123" t="str">
        <f>IF(TFI_Lookup[[#This Row],[CAT]] = "SA", CONSA, "CAT" &amp; RIGHT("0" &amp; TFI_Lookup[[#This Row],[CAT]], 2))</f>
        <v>CAT10</v>
      </c>
      <c r="Z11" s="126" t="s">
        <v>548</v>
      </c>
      <c r="AE11" s="20" t="s">
        <v>59</v>
      </c>
      <c r="AF11" s="59" t="s">
        <v>139</v>
      </c>
      <c r="AI11" t="s">
        <v>151</v>
      </c>
      <c r="AL11" s="28" t="s">
        <v>238</v>
      </c>
    </row>
    <row r="12" spans="1:44" x14ac:dyDescent="0.25">
      <c r="A12">
        <v>2023</v>
      </c>
      <c r="B12" s="2" t="s">
        <v>91</v>
      </c>
      <c r="C12" s="33">
        <v>1335</v>
      </c>
      <c r="D12" s="135">
        <v>316.98</v>
      </c>
      <c r="E12" s="17">
        <v>13</v>
      </c>
      <c r="F12" s="17" t="str">
        <f>BAH[[#This Row],[Year]] &amp; BAH[[#This Row],[Rank]]</f>
        <v>2023O-1</v>
      </c>
      <c r="G12" t="s">
        <v>111</v>
      </c>
      <c r="H12" s="21">
        <v>12</v>
      </c>
      <c r="K12" s="128" t="s">
        <v>89</v>
      </c>
      <c r="L12" s="128" t="s">
        <v>565</v>
      </c>
      <c r="M12" s="132">
        <v>11</v>
      </c>
      <c r="S12" s="125">
        <v>45279</v>
      </c>
      <c r="T12" s="120">
        <f>TFI_Lookup[[#This Row],[End0]] + Fee_Override</f>
        <v>45565</v>
      </c>
      <c r="U12" s="120">
        <v>45565</v>
      </c>
      <c r="V12" s="121">
        <f t="shared" si="0"/>
        <v>160001</v>
      </c>
      <c r="W12" s="121">
        <f>IF(TFI_Lookup[[#This Row],[Income range]] = "", "", IFERROR(MID(SUBSTITUTE(Z12, "$", ""), FIND("-", SUBSTITUTE(SUBSTITUTE(Z12, "$", ""), "–", "-")) + 1, 999), 9999999) + 0 + 0.99)</f>
        <v>9999999.9900000002</v>
      </c>
      <c r="X12" s="122">
        <v>11</v>
      </c>
      <c r="Y12" s="123" t="str">
        <f>IF(TFI_Lookup[[#This Row],[CAT]] = "SA", CONSA, "CAT" &amp; RIGHT("0" &amp; TFI_Lookup[[#This Row],[CAT]], 2))</f>
        <v>CAT11</v>
      </c>
      <c r="Z12" s="126" t="s">
        <v>549</v>
      </c>
      <c r="AE12" s="20" t="s">
        <v>398</v>
      </c>
      <c r="AF12" s="20" t="s">
        <v>138</v>
      </c>
      <c r="AI12" t="s">
        <v>152</v>
      </c>
      <c r="AL12" s="28" t="s">
        <v>239</v>
      </c>
    </row>
    <row r="13" spans="1:44" x14ac:dyDescent="0.25">
      <c r="A13">
        <v>2023</v>
      </c>
      <c r="B13" s="2" t="s">
        <v>12</v>
      </c>
      <c r="C13" s="33">
        <v>1878.3</v>
      </c>
      <c r="D13" s="135">
        <v>316.98</v>
      </c>
      <c r="E13" s="17">
        <v>8</v>
      </c>
      <c r="F13" s="17" t="str">
        <f>BAH[[#This Row],[Year]] &amp; BAH[[#This Row],[Rank]]</f>
        <v>2023O3E</v>
      </c>
      <c r="G13" t="s">
        <v>111</v>
      </c>
      <c r="H13" s="21">
        <v>14</v>
      </c>
      <c r="K13" s="128" t="s">
        <v>89</v>
      </c>
      <c r="L13" s="128" t="s">
        <v>566</v>
      </c>
      <c r="M13" s="132">
        <v>12</v>
      </c>
      <c r="S13" s="125">
        <v>45279</v>
      </c>
      <c r="T13" s="120">
        <f>TFI_Lookup[[#This Row],[End0]] + Fee_Override</f>
        <v>45565</v>
      </c>
      <c r="U13" s="120">
        <v>45565</v>
      </c>
      <c r="V13" s="121" t="str">
        <f t="shared" si="0"/>
        <v/>
      </c>
      <c r="W13" s="121">
        <f>IF(TFI_Lookup[[#This Row],[Income range]] = "", "", IFERROR(MID(SUBSTITUTE(Z13, "$", ""), FIND("-", SUBSTITUTE(SUBSTITUTE(Z13, "$", ""), "–", "-")) + 1, 999), 9999999) + 0 + 0.99)</f>
        <v>9999999.9900000002</v>
      </c>
      <c r="X13" s="122" t="s">
        <v>405</v>
      </c>
      <c r="Y13" s="123" t="str">
        <f>IF(TFI_Lookup[[#This Row],[CAT]] = "SA", CONSA, "CAT" &amp; RIGHT("0" &amp; TFI_Lookup[[#This Row],[CAT]], 2))</f>
        <v>CONSA</v>
      </c>
      <c r="Z13" s="126" t="s">
        <v>402</v>
      </c>
      <c r="AE13" s="20" t="s">
        <v>58</v>
      </c>
      <c r="AF13" s="59" t="s">
        <v>139</v>
      </c>
      <c r="AI13" t="s">
        <v>153</v>
      </c>
      <c r="AL13" s="28"/>
      <c r="AM13" t="s">
        <v>206</v>
      </c>
    </row>
    <row r="14" spans="1:44" x14ac:dyDescent="0.25">
      <c r="A14">
        <v>2023</v>
      </c>
      <c r="B14" s="2" t="s">
        <v>11</v>
      </c>
      <c r="C14" s="33">
        <v>1695.3</v>
      </c>
      <c r="D14" s="135">
        <v>316.98</v>
      </c>
      <c r="E14" s="17">
        <v>10</v>
      </c>
      <c r="F14" s="17" t="str">
        <f>BAH[[#This Row],[Year]] &amp; BAH[[#This Row],[Rank]]</f>
        <v>2023O2E</v>
      </c>
      <c r="G14" t="s">
        <v>111</v>
      </c>
      <c r="H14" s="21">
        <v>13</v>
      </c>
      <c r="K14" s="128" t="s">
        <v>88</v>
      </c>
      <c r="L14" s="128" t="s">
        <v>567</v>
      </c>
      <c r="M14" s="132">
        <v>13</v>
      </c>
      <c r="S14" s="119"/>
      <c r="T14" s="120"/>
      <c r="U14" s="120"/>
      <c r="V14" s="121"/>
      <c r="W14" s="121"/>
      <c r="X14" s="122"/>
      <c r="Y14" s="123"/>
      <c r="Z14" s="124"/>
      <c r="AE14" s="20" t="s">
        <v>136</v>
      </c>
      <c r="AF14" s="20" t="s">
        <v>138</v>
      </c>
      <c r="AI14" t="s">
        <v>154</v>
      </c>
      <c r="AL14" s="28" t="s">
        <v>240</v>
      </c>
    </row>
    <row r="15" spans="1:44" x14ac:dyDescent="0.25">
      <c r="A15">
        <v>2023</v>
      </c>
      <c r="B15" s="2" t="s">
        <v>10</v>
      </c>
      <c r="C15" s="33">
        <v>1566.9</v>
      </c>
      <c r="D15" s="135">
        <v>316.98</v>
      </c>
      <c r="E15" s="17">
        <v>12</v>
      </c>
      <c r="F15" s="17" t="str">
        <f>BAH[[#This Row],[Year]] &amp; BAH[[#This Row],[Rank]]</f>
        <v>2023O1E</v>
      </c>
      <c r="G15" t="s">
        <v>111</v>
      </c>
      <c r="H15" s="21">
        <v>12</v>
      </c>
      <c r="K15" s="128" t="s">
        <v>87</v>
      </c>
      <c r="L15" s="128" t="s">
        <v>568</v>
      </c>
      <c r="M15" s="132">
        <v>14</v>
      </c>
      <c r="S15" s="119"/>
      <c r="T15" s="120"/>
      <c r="U15" s="120"/>
      <c r="V15" s="121"/>
      <c r="W15" s="121"/>
      <c r="X15" s="122"/>
      <c r="Y15" s="123"/>
      <c r="Z15" s="124"/>
      <c r="AF15" s="20"/>
      <c r="AI15" t="s">
        <v>155</v>
      </c>
      <c r="AL15" s="28" t="s">
        <v>241</v>
      </c>
    </row>
    <row r="16" spans="1:44" x14ac:dyDescent="0.25">
      <c r="A16">
        <v>2023</v>
      </c>
      <c r="B16" s="2" t="s">
        <v>92</v>
      </c>
      <c r="C16" s="33">
        <v>2040</v>
      </c>
      <c r="D16" s="135">
        <v>316.98</v>
      </c>
      <c r="E16" s="17">
        <v>14</v>
      </c>
      <c r="F16" s="17" t="str">
        <f>BAH[[#This Row],[Year]] &amp; BAH[[#This Row],[Rank]]</f>
        <v>2023W-5</v>
      </c>
      <c r="G16" t="s">
        <v>111</v>
      </c>
      <c r="H16" s="21">
        <v>16</v>
      </c>
      <c r="K16" s="128" t="s">
        <v>87</v>
      </c>
      <c r="L16" s="128" t="s">
        <v>569</v>
      </c>
      <c r="M16" s="132">
        <v>15</v>
      </c>
      <c r="S16" s="125"/>
      <c r="T16" s="120"/>
      <c r="U16" s="120"/>
      <c r="V16" s="121"/>
      <c r="W16" s="121"/>
      <c r="X16" s="122"/>
      <c r="Y16" s="123"/>
      <c r="Z16" s="124"/>
      <c r="AE16" s="20" t="s">
        <v>384</v>
      </c>
      <c r="AF16" s="20"/>
      <c r="AI16" t="s">
        <v>156</v>
      </c>
      <c r="AL16" s="28" t="s">
        <v>242</v>
      </c>
    </row>
    <row r="17" spans="1:39" x14ac:dyDescent="0.25">
      <c r="A17">
        <v>2023</v>
      </c>
      <c r="B17" s="2" t="s">
        <v>93</v>
      </c>
      <c r="C17" s="33">
        <v>1870.2</v>
      </c>
      <c r="D17" s="135">
        <v>316.98</v>
      </c>
      <c r="E17" s="17">
        <v>15</v>
      </c>
      <c r="F17" s="17" t="str">
        <f>BAH[[#This Row],[Year]] &amp; BAH[[#This Row],[Rank]]</f>
        <v>2023W-4</v>
      </c>
      <c r="G17" t="s">
        <v>111</v>
      </c>
      <c r="H17" s="21">
        <v>15</v>
      </c>
      <c r="K17" s="128" t="s">
        <v>86</v>
      </c>
      <c r="L17" s="128" t="s">
        <v>570</v>
      </c>
      <c r="M17" s="132">
        <v>16</v>
      </c>
      <c r="S17" s="133"/>
      <c r="T17" s="26"/>
      <c r="U17" s="26"/>
      <c r="V17" s="134"/>
      <c r="W17" s="134"/>
      <c r="X17" s="131"/>
      <c r="Y17" s="17"/>
      <c r="Z17" s="21"/>
      <c r="AF17" s="20"/>
      <c r="AI17" t="s">
        <v>157</v>
      </c>
      <c r="AL17" s="28" t="s">
        <v>243</v>
      </c>
    </row>
    <row r="18" spans="1:39" x14ac:dyDescent="0.25">
      <c r="A18">
        <v>2023</v>
      </c>
      <c r="B18" s="2" t="s">
        <v>94</v>
      </c>
      <c r="C18" s="33">
        <v>1714.2</v>
      </c>
      <c r="D18" s="135">
        <v>316.98</v>
      </c>
      <c r="E18" s="17">
        <v>16</v>
      </c>
      <c r="F18" s="17" t="str">
        <f>BAH[[#This Row],[Year]] &amp; BAH[[#This Row],[Rank]]</f>
        <v>2023W-3</v>
      </c>
      <c r="G18" t="s">
        <v>111</v>
      </c>
      <c r="H18" s="21">
        <v>14</v>
      </c>
      <c r="K18" s="128" t="s">
        <v>105</v>
      </c>
      <c r="L18" s="128" t="s">
        <v>579</v>
      </c>
      <c r="M18" s="132">
        <v>17</v>
      </c>
      <c r="S18" s="133"/>
      <c r="T18" s="26"/>
      <c r="U18" s="26"/>
      <c r="V18" s="134"/>
      <c r="W18" s="134"/>
      <c r="X18" s="131"/>
      <c r="Y18" s="17"/>
      <c r="Z18" s="21"/>
      <c r="AE18" s="20" t="s">
        <v>385</v>
      </c>
      <c r="AF18" s="20"/>
      <c r="AI18" t="s">
        <v>158</v>
      </c>
      <c r="AL18" s="28" t="s">
        <v>244</v>
      </c>
    </row>
    <row r="19" spans="1:39" x14ac:dyDescent="0.25">
      <c r="A19">
        <v>2023</v>
      </c>
      <c r="B19" s="2" t="s">
        <v>95</v>
      </c>
      <c r="C19" s="33">
        <v>1575</v>
      </c>
      <c r="D19" s="135">
        <v>316.98</v>
      </c>
      <c r="E19" s="17">
        <v>17</v>
      </c>
      <c r="F19" s="17" t="str">
        <f>BAH[[#This Row],[Year]] &amp; BAH[[#This Row],[Rank]]</f>
        <v>2023W-2</v>
      </c>
      <c r="G19" t="s">
        <v>111</v>
      </c>
      <c r="H19" s="21">
        <v>13</v>
      </c>
      <c r="K19" s="128" t="s">
        <v>105</v>
      </c>
      <c r="L19" s="128" t="s">
        <v>580</v>
      </c>
      <c r="M19" s="132">
        <v>18</v>
      </c>
      <c r="S19" s="133"/>
      <c r="T19" s="26"/>
      <c r="U19" s="26"/>
      <c r="V19" s="134"/>
      <c r="W19" s="134"/>
      <c r="X19" s="131"/>
      <c r="Y19" s="17"/>
      <c r="Z19" s="21"/>
      <c r="AF19" s="20"/>
      <c r="AI19" t="s">
        <v>159</v>
      </c>
      <c r="AL19" s="28" t="s">
        <v>245</v>
      </c>
    </row>
    <row r="20" spans="1:39" x14ac:dyDescent="0.25">
      <c r="A20">
        <v>2023</v>
      </c>
      <c r="B20" s="2" t="s">
        <v>96</v>
      </c>
      <c r="C20" s="33">
        <v>1363.5</v>
      </c>
      <c r="D20" s="135">
        <v>316.98</v>
      </c>
      <c r="E20" s="17">
        <v>18</v>
      </c>
      <c r="F20" s="17" t="str">
        <f>BAH[[#This Row],[Year]] &amp; BAH[[#This Row],[Rank]]</f>
        <v>2023W-1</v>
      </c>
      <c r="G20" t="s">
        <v>111</v>
      </c>
      <c r="H20" s="21">
        <v>12</v>
      </c>
      <c r="K20" s="128" t="s">
        <v>105</v>
      </c>
      <c r="L20" s="128" t="s">
        <v>581</v>
      </c>
      <c r="M20" s="132">
        <v>19</v>
      </c>
      <c r="S20" s="133"/>
      <c r="T20" s="26"/>
      <c r="U20" s="26"/>
      <c r="V20" s="134"/>
      <c r="W20" s="134"/>
      <c r="X20" s="131"/>
      <c r="Y20" s="17"/>
      <c r="Z20" s="21"/>
      <c r="AF20" s="20"/>
      <c r="AL20" s="28" t="s">
        <v>246</v>
      </c>
    </row>
    <row r="21" spans="1:39" x14ac:dyDescent="0.25">
      <c r="A21">
        <v>2023</v>
      </c>
      <c r="B21" s="2" t="s">
        <v>97</v>
      </c>
      <c r="C21" s="33">
        <v>1794.6</v>
      </c>
      <c r="D21" s="135">
        <v>460.25</v>
      </c>
      <c r="E21" s="17">
        <v>19</v>
      </c>
      <c r="F21" s="17" t="str">
        <f>BAH[[#This Row],[Year]] &amp; BAH[[#This Row],[Rank]]</f>
        <v>2023E-9</v>
      </c>
      <c r="G21" t="s">
        <v>111</v>
      </c>
      <c r="H21" s="21">
        <v>11</v>
      </c>
      <c r="K21" s="128" t="s">
        <v>105</v>
      </c>
      <c r="L21" s="128" t="s">
        <v>582</v>
      </c>
      <c r="M21" s="132">
        <v>20</v>
      </c>
      <c r="S21" s="133"/>
      <c r="T21" s="26"/>
      <c r="U21" s="26"/>
      <c r="V21" s="134"/>
      <c r="W21" s="134"/>
      <c r="X21" s="131"/>
      <c r="Y21" s="17"/>
      <c r="Z21" s="21"/>
      <c r="AF21" s="20"/>
      <c r="AL21" s="28" t="s">
        <v>247</v>
      </c>
    </row>
    <row r="22" spans="1:39" x14ac:dyDescent="0.25">
      <c r="A22">
        <v>2023</v>
      </c>
      <c r="B22" s="2" t="s">
        <v>98</v>
      </c>
      <c r="C22" s="33">
        <v>1655.1</v>
      </c>
      <c r="D22" s="135">
        <v>460.25</v>
      </c>
      <c r="E22" s="17">
        <v>20</v>
      </c>
      <c r="F22" s="17" t="str">
        <f>BAH[[#This Row],[Year]] &amp; BAH[[#This Row],[Rank]]</f>
        <v>2023E-8</v>
      </c>
      <c r="G22" t="s">
        <v>111</v>
      </c>
      <c r="H22" s="21">
        <v>10</v>
      </c>
      <c r="K22" s="128" t="s">
        <v>105</v>
      </c>
      <c r="L22" s="128" t="s">
        <v>583</v>
      </c>
      <c r="M22" s="132">
        <v>21</v>
      </c>
      <c r="S22" s="133"/>
      <c r="T22" s="26"/>
      <c r="U22" s="26"/>
      <c r="V22" s="134"/>
      <c r="W22" s="134"/>
      <c r="X22" s="131"/>
      <c r="Y22" s="17"/>
      <c r="Z22" s="21"/>
      <c r="AF22" s="20"/>
      <c r="AL22" s="28" t="s">
        <v>248</v>
      </c>
    </row>
    <row r="23" spans="1:39" x14ac:dyDescent="0.25">
      <c r="A23">
        <v>2023</v>
      </c>
      <c r="B23" s="2" t="s">
        <v>99</v>
      </c>
      <c r="C23" s="33">
        <v>1535.7</v>
      </c>
      <c r="D23" s="135">
        <v>460.25</v>
      </c>
      <c r="E23" s="17">
        <v>21</v>
      </c>
      <c r="F23" s="17" t="str">
        <f>BAH[[#This Row],[Year]] &amp; BAH[[#This Row],[Rank]]</f>
        <v>2023E-7</v>
      </c>
      <c r="G23" t="s">
        <v>111</v>
      </c>
      <c r="H23" s="21">
        <v>9</v>
      </c>
      <c r="K23" s="128" t="s">
        <v>105</v>
      </c>
      <c r="L23" s="128" t="s">
        <v>584</v>
      </c>
      <c r="M23" s="132">
        <v>22</v>
      </c>
      <c r="S23" s="133"/>
      <c r="T23" s="26"/>
      <c r="U23" s="26"/>
      <c r="V23" s="134"/>
      <c r="W23" s="134"/>
      <c r="X23" s="131"/>
      <c r="Y23" s="17"/>
      <c r="Z23" s="21"/>
      <c r="AL23" s="28" t="s">
        <v>249</v>
      </c>
    </row>
    <row r="24" spans="1:39" x14ac:dyDescent="0.25">
      <c r="A24">
        <v>2023</v>
      </c>
      <c r="B24" s="2" t="s">
        <v>100</v>
      </c>
      <c r="C24" s="33">
        <v>1419.3</v>
      </c>
      <c r="D24" s="135">
        <v>460.25</v>
      </c>
      <c r="E24" s="17">
        <v>22</v>
      </c>
      <c r="F24" s="17" t="str">
        <f>BAH[[#This Row],[Year]] &amp; BAH[[#This Row],[Rank]]</f>
        <v>2023E-6</v>
      </c>
      <c r="G24" t="s">
        <v>111</v>
      </c>
      <c r="H24" s="21">
        <v>8</v>
      </c>
      <c r="K24" s="128" t="s">
        <v>105</v>
      </c>
      <c r="L24" s="128" t="s">
        <v>585</v>
      </c>
      <c r="M24" s="132">
        <v>23</v>
      </c>
      <c r="S24" s="133"/>
      <c r="T24" s="26"/>
      <c r="U24" s="26"/>
      <c r="V24" s="134"/>
      <c r="W24" s="134"/>
      <c r="X24" s="131"/>
      <c r="Y24" s="17"/>
      <c r="Z24" s="21"/>
      <c r="AL24" s="28"/>
      <c r="AM24" t="s">
        <v>206</v>
      </c>
    </row>
    <row r="25" spans="1:39" x14ac:dyDescent="0.25">
      <c r="A25">
        <v>2023</v>
      </c>
      <c r="B25" s="2" t="s">
        <v>101</v>
      </c>
      <c r="C25" s="33">
        <v>1277.4000000000001</v>
      </c>
      <c r="D25" s="135">
        <v>460.25</v>
      </c>
      <c r="E25" s="17">
        <v>23</v>
      </c>
      <c r="F25" s="17" t="str">
        <f>BAH[[#This Row],[Year]] &amp; BAH[[#This Row],[Rank]]</f>
        <v>2023E-5</v>
      </c>
      <c r="G25" t="s">
        <v>111</v>
      </c>
      <c r="H25" s="21">
        <v>7</v>
      </c>
      <c r="K25" s="128" t="s">
        <v>105</v>
      </c>
      <c r="L25" s="128" t="s">
        <v>586</v>
      </c>
      <c r="M25" s="132">
        <v>24</v>
      </c>
      <c r="S25" s="133"/>
      <c r="T25" s="26"/>
      <c r="U25" s="26"/>
      <c r="V25" s="134"/>
      <c r="W25" s="134"/>
      <c r="X25" s="131"/>
      <c r="Y25" s="17"/>
      <c r="Z25" s="21"/>
      <c r="AL25" s="28" t="s">
        <v>250</v>
      </c>
    </row>
    <row r="26" spans="1:39" ht="15.75" customHeight="1" x14ac:dyDescent="0.25">
      <c r="A26">
        <v>2023</v>
      </c>
      <c r="B26" s="2" t="s">
        <v>102</v>
      </c>
      <c r="C26" s="33">
        <v>1110</v>
      </c>
      <c r="D26" s="135">
        <v>460.25</v>
      </c>
      <c r="E26" s="17">
        <v>24</v>
      </c>
      <c r="F26" s="17" t="str">
        <f>BAH[[#This Row],[Year]] &amp; BAH[[#This Row],[Rank]]</f>
        <v>2023E-4</v>
      </c>
      <c r="G26" t="s">
        <v>111</v>
      </c>
      <c r="H26" s="21">
        <v>6</v>
      </c>
      <c r="K26" s="128" t="s">
        <v>101</v>
      </c>
      <c r="L26" s="128" t="s">
        <v>587</v>
      </c>
      <c r="M26" s="132">
        <v>25</v>
      </c>
      <c r="S26" s="133"/>
      <c r="T26" s="26"/>
      <c r="U26" s="26"/>
      <c r="V26" s="134"/>
      <c r="W26" s="134"/>
      <c r="X26" s="131"/>
      <c r="Y26" s="17"/>
      <c r="Z26" s="21"/>
      <c r="AL26" s="28" t="s">
        <v>251</v>
      </c>
    </row>
    <row r="27" spans="1:39" ht="15.75" customHeight="1" x14ac:dyDescent="0.25">
      <c r="A27">
        <v>2023</v>
      </c>
      <c r="B27" s="2" t="s">
        <v>103</v>
      </c>
      <c r="C27" s="33">
        <v>1032</v>
      </c>
      <c r="D27" s="135">
        <v>460.25</v>
      </c>
      <c r="E27" s="17">
        <v>25</v>
      </c>
      <c r="F27" s="17" t="str">
        <f>BAH[[#This Row],[Year]] &amp; BAH[[#This Row],[Rank]]</f>
        <v>2023E-3</v>
      </c>
      <c r="G27" t="s">
        <v>111</v>
      </c>
      <c r="H27" s="21">
        <v>5</v>
      </c>
      <c r="K27" s="128" t="s">
        <v>101</v>
      </c>
      <c r="L27" s="128" t="s">
        <v>588</v>
      </c>
      <c r="M27" s="132">
        <v>26</v>
      </c>
      <c r="S27" s="133"/>
      <c r="T27" s="26"/>
      <c r="U27" s="26"/>
      <c r="V27" s="134"/>
      <c r="W27" s="134"/>
      <c r="X27" s="131"/>
      <c r="Y27" s="17"/>
      <c r="Z27" s="21"/>
      <c r="AL27" s="28" t="s">
        <v>252</v>
      </c>
    </row>
    <row r="28" spans="1:39" ht="15.75" customHeight="1" x14ac:dyDescent="0.25">
      <c r="A28">
        <v>2023</v>
      </c>
      <c r="B28" s="2" t="s">
        <v>104</v>
      </c>
      <c r="C28" s="33">
        <v>983.7</v>
      </c>
      <c r="D28" s="135">
        <v>460.25</v>
      </c>
      <c r="E28" s="17">
        <v>26</v>
      </c>
      <c r="F28" s="17" t="str">
        <f>BAH[[#This Row],[Year]] &amp; BAH[[#This Row],[Rank]]</f>
        <v>2023E-2</v>
      </c>
      <c r="G28" t="s">
        <v>111</v>
      </c>
      <c r="H28" s="21">
        <v>4</v>
      </c>
      <c r="K28" s="128" t="s">
        <v>101</v>
      </c>
      <c r="L28" s="128" t="s">
        <v>589</v>
      </c>
      <c r="M28" s="132">
        <v>27</v>
      </c>
      <c r="S28" s="133"/>
      <c r="T28" s="26"/>
      <c r="U28" s="26"/>
      <c r="V28" s="134"/>
      <c r="W28" s="134"/>
      <c r="X28" s="131"/>
      <c r="Y28" s="17"/>
      <c r="Z28" s="21"/>
      <c r="AL28" s="28" t="s">
        <v>253</v>
      </c>
    </row>
    <row r="29" spans="1:39" ht="15.75" customHeight="1" x14ac:dyDescent="0.25">
      <c r="A29">
        <v>2023</v>
      </c>
      <c r="B29" s="2" t="s">
        <v>105</v>
      </c>
      <c r="C29" s="33">
        <v>983.7</v>
      </c>
      <c r="D29" s="135">
        <v>460.25</v>
      </c>
      <c r="E29" s="17">
        <v>27</v>
      </c>
      <c r="F29" s="17" t="str">
        <f>BAH[[#This Row],[Year]] &amp; BAH[[#This Row],[Rank]]</f>
        <v>2023E-1</v>
      </c>
      <c r="G29" t="s">
        <v>111</v>
      </c>
      <c r="H29" s="21">
        <v>3</v>
      </c>
      <c r="K29" s="128" t="s">
        <v>105</v>
      </c>
      <c r="L29" s="128" t="s">
        <v>590</v>
      </c>
      <c r="M29" s="132">
        <v>28</v>
      </c>
      <c r="Z29" s="21"/>
      <c r="AL29" s="28" t="s">
        <v>254</v>
      </c>
    </row>
    <row r="30" spans="1:39" ht="15.75" customHeight="1" x14ac:dyDescent="0.25">
      <c r="A30">
        <v>2023</v>
      </c>
      <c r="B30" s="2" t="s">
        <v>20</v>
      </c>
      <c r="C30" s="33">
        <v>0</v>
      </c>
      <c r="D30" s="135">
        <v>0</v>
      </c>
      <c r="E30" s="17">
        <v>28</v>
      </c>
      <c r="F30" s="17" t="str">
        <f>BAH[[#This Row],[Year]] &amp; BAH[[#This Row],[Rank]]</f>
        <v>2023DoD Civilian</v>
      </c>
      <c r="G30" t="s">
        <v>111</v>
      </c>
      <c r="H30" s="21">
        <v>2</v>
      </c>
      <c r="K30" s="128" t="s">
        <v>102</v>
      </c>
      <c r="L30" s="128" t="s">
        <v>591</v>
      </c>
      <c r="M30" s="132">
        <v>29</v>
      </c>
      <c r="Z30" s="21"/>
      <c r="AL30" s="28" t="s">
        <v>255</v>
      </c>
    </row>
    <row r="31" spans="1:39" ht="15.75" customHeight="1" x14ac:dyDescent="0.25">
      <c r="A31">
        <v>2023</v>
      </c>
      <c r="B31" s="2" t="s">
        <v>21</v>
      </c>
      <c r="C31" s="33">
        <v>0</v>
      </c>
      <c r="D31" s="135">
        <v>0</v>
      </c>
      <c r="E31" s="17">
        <v>29</v>
      </c>
      <c r="F31" s="17" t="str">
        <f>BAH[[#This Row],[Year]] &amp; BAH[[#This Row],[Rank]]</f>
        <v>2023DoD Contractor</v>
      </c>
      <c r="G31" t="s">
        <v>164</v>
      </c>
      <c r="H31" s="21">
        <v>1</v>
      </c>
      <c r="K31" s="128" t="s">
        <v>101</v>
      </c>
      <c r="L31" s="128" t="s">
        <v>592</v>
      </c>
      <c r="M31" s="132">
        <v>30</v>
      </c>
      <c r="Z31" s="21"/>
      <c r="AL31" s="28" t="s">
        <v>256</v>
      </c>
    </row>
    <row r="32" spans="1:39" ht="15.75" customHeight="1" x14ac:dyDescent="0.25">
      <c r="A32">
        <v>2023</v>
      </c>
      <c r="B32" s="2" t="s">
        <v>22</v>
      </c>
      <c r="C32" s="33">
        <v>0</v>
      </c>
      <c r="D32" s="135">
        <v>0</v>
      </c>
      <c r="E32" s="17">
        <v>30</v>
      </c>
      <c r="F32" s="17" t="str">
        <f>BAH[[#This Row],[Year]] &amp; BAH[[#This Row],[Rank]]</f>
        <v xml:space="preserve">2023Other Federal </v>
      </c>
      <c r="G32" t="s">
        <v>164</v>
      </c>
      <c r="H32" s="21">
        <v>0</v>
      </c>
      <c r="K32" s="128" t="s">
        <v>88</v>
      </c>
      <c r="L32" s="128" t="s">
        <v>593</v>
      </c>
      <c r="M32" s="132">
        <v>31</v>
      </c>
      <c r="Z32" s="21"/>
      <c r="AL32" s="28" t="s">
        <v>257</v>
      </c>
    </row>
    <row r="33" spans="1:39" ht="15.75" customHeight="1" x14ac:dyDescent="0.25">
      <c r="A33">
        <v>2023</v>
      </c>
      <c r="B33" s="2" t="s">
        <v>23</v>
      </c>
      <c r="C33" s="33">
        <v>0</v>
      </c>
      <c r="D33" s="135">
        <v>0</v>
      </c>
      <c r="E33" s="17">
        <v>31</v>
      </c>
      <c r="F33" s="17" t="str">
        <f>BAH[[#This Row],[Year]] &amp; BAH[[#This Row],[Rank]]</f>
        <v>2023Retiree</v>
      </c>
      <c r="G33" t="s">
        <v>164</v>
      </c>
      <c r="H33" s="21">
        <v>0</v>
      </c>
      <c r="K33" s="128" t="s">
        <v>87</v>
      </c>
      <c r="L33" s="128" t="s">
        <v>594</v>
      </c>
      <c r="M33" s="132">
        <v>32</v>
      </c>
      <c r="Z33" s="21"/>
      <c r="AA33" s="26"/>
      <c r="AL33" s="28" t="s">
        <v>258</v>
      </c>
    </row>
    <row r="34" spans="1:39" ht="15.75" customHeight="1" x14ac:dyDescent="0.25">
      <c r="A34">
        <v>2023</v>
      </c>
      <c r="B34" s="2" t="s">
        <v>6</v>
      </c>
      <c r="C34" s="33">
        <v>0</v>
      </c>
      <c r="D34" s="135">
        <v>0</v>
      </c>
      <c r="E34" s="17">
        <v>32</v>
      </c>
      <c r="F34" s="17" t="str">
        <f>BAH[[#This Row],[Year]] &amp; BAH[[#This Row],[Rank]]</f>
        <v>2023Other</v>
      </c>
      <c r="G34" t="s">
        <v>164</v>
      </c>
      <c r="H34" s="21">
        <v>0</v>
      </c>
      <c r="K34" s="128" t="s">
        <v>85</v>
      </c>
      <c r="L34" s="128" t="s">
        <v>595</v>
      </c>
      <c r="M34" s="132">
        <v>33</v>
      </c>
      <c r="Z34" s="21"/>
      <c r="AA34" s="26"/>
      <c r="AL34" s="28" t="s">
        <v>259</v>
      </c>
    </row>
    <row r="35" spans="1:39" ht="15.75" customHeight="1" x14ac:dyDescent="0.25">
      <c r="A35" s="21">
        <v>2024</v>
      </c>
      <c r="B35" s="61" t="s">
        <v>82</v>
      </c>
      <c r="C35" s="33">
        <f>'2024 Non-Locality BAH Rates'!D6</f>
        <v>2762.4</v>
      </c>
      <c r="D35" s="135">
        <f>'2024 Non-Locality BAH Rates'!$C$34 + 0</f>
        <v>316.98</v>
      </c>
      <c r="E35" s="63">
        <v>1</v>
      </c>
      <c r="F35" s="17" t="str">
        <f>BAH[[#This Row],[Year]] &amp; BAH[[#This Row],[Rank]]</f>
        <v>2024O-10</v>
      </c>
      <c r="G35" s="21" t="s">
        <v>111</v>
      </c>
      <c r="H35" s="21">
        <v>21</v>
      </c>
      <c r="K35" s="128" t="s">
        <v>101</v>
      </c>
      <c r="L35" s="128" t="s">
        <v>596</v>
      </c>
      <c r="M35" s="132">
        <v>34</v>
      </c>
      <c r="Z35" s="21"/>
      <c r="AA35" s="26"/>
      <c r="AL35" s="28"/>
      <c r="AM35" t="s">
        <v>206</v>
      </c>
    </row>
    <row r="36" spans="1:39" ht="15.75" customHeight="1" x14ac:dyDescent="0.25">
      <c r="A36" s="21">
        <v>2024</v>
      </c>
      <c r="B36" s="61" t="s">
        <v>83</v>
      </c>
      <c r="C36" s="33">
        <f>'2024 Non-Locality BAH Rates'!D7</f>
        <v>2762.4</v>
      </c>
      <c r="D36" s="135">
        <f>'2024 Non-Locality BAH Rates'!$C$34 + 0</f>
        <v>316.98</v>
      </c>
      <c r="E36" s="63">
        <v>2</v>
      </c>
      <c r="F36" s="17" t="str">
        <f>BAH[[#This Row],[Year]] &amp; BAH[[#This Row],[Rank]]</f>
        <v>2024O-9</v>
      </c>
      <c r="G36" s="21" t="s">
        <v>111</v>
      </c>
      <c r="H36" s="21">
        <v>20</v>
      </c>
      <c r="K36" s="128" t="s">
        <v>101</v>
      </c>
      <c r="L36" s="128" t="s">
        <v>597</v>
      </c>
      <c r="M36" s="132">
        <v>35</v>
      </c>
      <c r="Z36" s="21"/>
      <c r="AA36" s="26"/>
      <c r="AL36" s="28" t="s">
        <v>260</v>
      </c>
    </row>
    <row r="37" spans="1:39" ht="15.75" customHeight="1" x14ac:dyDescent="0.25">
      <c r="A37" s="21">
        <v>2024</v>
      </c>
      <c r="B37" s="61" t="s">
        <v>84</v>
      </c>
      <c r="C37" s="33">
        <f>'2024 Non-Locality BAH Rates'!D8</f>
        <v>2762.4</v>
      </c>
      <c r="D37" s="135">
        <f>'2024 Non-Locality BAH Rates'!$C$34 + 0</f>
        <v>316.98</v>
      </c>
      <c r="E37" s="63">
        <v>3</v>
      </c>
      <c r="F37" s="17" t="str">
        <f>BAH[[#This Row],[Year]] &amp; BAH[[#This Row],[Rank]]</f>
        <v>2024O-8</v>
      </c>
      <c r="G37" s="21" t="s">
        <v>111</v>
      </c>
      <c r="H37" s="21">
        <v>19</v>
      </c>
      <c r="K37" s="128" t="s">
        <v>101</v>
      </c>
      <c r="L37" s="128" t="s">
        <v>598</v>
      </c>
      <c r="M37" s="132">
        <v>36</v>
      </c>
      <c r="Z37" s="21"/>
      <c r="AA37" s="26"/>
      <c r="AL37" s="28" t="s">
        <v>261</v>
      </c>
    </row>
    <row r="38" spans="1:39" ht="15.75" customHeight="1" x14ac:dyDescent="0.25">
      <c r="A38" s="21">
        <v>2024</v>
      </c>
      <c r="B38" s="61" t="s">
        <v>85</v>
      </c>
      <c r="C38" s="33">
        <f>'2024 Non-Locality BAH Rates'!D9</f>
        <v>2762.4</v>
      </c>
      <c r="D38" s="135">
        <f>'2024 Non-Locality BAH Rates'!$C$34 + 0</f>
        <v>316.98</v>
      </c>
      <c r="E38" s="63">
        <v>4</v>
      </c>
      <c r="F38" s="17" t="str">
        <f>BAH[[#This Row],[Year]] &amp; BAH[[#This Row],[Rank]]</f>
        <v>2024O-7</v>
      </c>
      <c r="G38" s="21" t="s">
        <v>111</v>
      </c>
      <c r="H38" s="21">
        <v>18</v>
      </c>
      <c r="K38" s="128" t="s">
        <v>101</v>
      </c>
      <c r="L38" s="128" t="s">
        <v>599</v>
      </c>
      <c r="M38" s="132">
        <v>37</v>
      </c>
      <c r="Z38" s="21"/>
      <c r="AL38" s="28" t="s">
        <v>262</v>
      </c>
    </row>
    <row r="39" spans="1:39" ht="15.75" customHeight="1" x14ac:dyDescent="0.25">
      <c r="A39" s="21">
        <v>2024</v>
      </c>
      <c r="B39" s="61" t="s">
        <v>86</v>
      </c>
      <c r="C39" s="33">
        <f>'2024 Non-Locality BAH Rates'!D10</f>
        <v>2486.4</v>
      </c>
      <c r="D39" s="135">
        <f>'2024 Non-Locality BAH Rates'!$C$34 + 0</f>
        <v>316.98</v>
      </c>
      <c r="E39" s="63">
        <v>5</v>
      </c>
      <c r="F39" s="17" t="str">
        <f>BAH[[#This Row],[Year]] &amp; BAH[[#This Row],[Rank]]</f>
        <v>2024O-6</v>
      </c>
      <c r="G39" s="21" t="s">
        <v>111</v>
      </c>
      <c r="H39" s="21">
        <v>17</v>
      </c>
      <c r="K39" s="128" t="s">
        <v>101</v>
      </c>
      <c r="L39" s="128" t="s">
        <v>600</v>
      </c>
      <c r="M39" s="132">
        <v>38</v>
      </c>
      <c r="Z39" s="21"/>
      <c r="AL39" s="28" t="s">
        <v>263</v>
      </c>
    </row>
    <row r="40" spans="1:39" ht="15.75" customHeight="1" x14ac:dyDescent="0.25">
      <c r="A40" s="21">
        <v>2024</v>
      </c>
      <c r="B40" s="61" t="s">
        <v>87</v>
      </c>
      <c r="C40" s="33">
        <f>'2024 Non-Locality BAH Rates'!D11</f>
        <v>2396.6999999999998</v>
      </c>
      <c r="D40" s="135">
        <f>'2024 Non-Locality BAH Rates'!$C$34 + 0</f>
        <v>316.98</v>
      </c>
      <c r="E40" s="63">
        <v>6</v>
      </c>
      <c r="F40" s="17" t="str">
        <f>BAH[[#This Row],[Year]] &amp; BAH[[#This Row],[Rank]]</f>
        <v>2024O-5</v>
      </c>
      <c r="G40" s="21" t="s">
        <v>111</v>
      </c>
      <c r="H40" s="21">
        <v>16</v>
      </c>
      <c r="K40" s="128" t="s">
        <v>101</v>
      </c>
      <c r="L40" s="128" t="s">
        <v>601</v>
      </c>
      <c r="M40" s="132">
        <v>39</v>
      </c>
      <c r="Z40" s="21"/>
      <c r="AL40" s="28" t="s">
        <v>264</v>
      </c>
    </row>
    <row r="41" spans="1:39" ht="15.75" customHeight="1" x14ac:dyDescent="0.25">
      <c r="A41" s="21">
        <v>2024</v>
      </c>
      <c r="B41" s="61" t="s">
        <v>88</v>
      </c>
      <c r="C41" s="33">
        <f>'2024 Non-Locality BAH Rates'!D12</f>
        <v>2112.3000000000002</v>
      </c>
      <c r="D41" s="135">
        <f>'2024 Non-Locality BAH Rates'!$C$34 + 0</f>
        <v>316.98</v>
      </c>
      <c r="E41" s="63">
        <v>7</v>
      </c>
      <c r="F41" s="17" t="str">
        <f>BAH[[#This Row],[Year]] &amp; BAH[[#This Row],[Rank]]</f>
        <v>2024O-4</v>
      </c>
      <c r="G41" s="21" t="s">
        <v>111</v>
      </c>
      <c r="H41" s="21">
        <v>15</v>
      </c>
      <c r="K41" s="128" t="s">
        <v>101</v>
      </c>
      <c r="L41" s="128" t="s">
        <v>612</v>
      </c>
      <c r="M41" s="132">
        <v>40</v>
      </c>
      <c r="Z41" s="21"/>
      <c r="AL41" s="28" t="s">
        <v>265</v>
      </c>
    </row>
    <row r="42" spans="1:39" ht="15.75" customHeight="1" x14ac:dyDescent="0.25">
      <c r="A42" s="21">
        <v>2024</v>
      </c>
      <c r="B42" s="61" t="s">
        <v>89</v>
      </c>
      <c r="C42" s="33">
        <f>'2024 Non-Locality BAH Rates'!D13</f>
        <v>1747.8</v>
      </c>
      <c r="D42" s="135">
        <f>'2024 Non-Locality BAH Rates'!$C$34 + 0</f>
        <v>316.98</v>
      </c>
      <c r="E42" s="63">
        <v>9</v>
      </c>
      <c r="F42" s="17" t="str">
        <f>BAH[[#This Row],[Year]] &amp; BAH[[#This Row],[Rank]]</f>
        <v>2024O-3</v>
      </c>
      <c r="G42" s="21" t="s">
        <v>111</v>
      </c>
      <c r="H42" s="21">
        <v>14</v>
      </c>
      <c r="K42" s="128" t="s">
        <v>101</v>
      </c>
      <c r="L42" s="128" t="s">
        <v>613</v>
      </c>
      <c r="M42" s="132">
        <v>41</v>
      </c>
      <c r="Z42" s="21"/>
      <c r="AL42" s="28" t="s">
        <v>266</v>
      </c>
    </row>
    <row r="43" spans="1:39" ht="15.75" customHeight="1" x14ac:dyDescent="0.25">
      <c r="A43" s="21">
        <v>2024</v>
      </c>
      <c r="B43" s="61" t="s">
        <v>90</v>
      </c>
      <c r="C43" s="33">
        <f>'2024 Non-Locality BAH Rates'!D14</f>
        <v>1491.3</v>
      </c>
      <c r="D43" s="135">
        <f>'2024 Non-Locality BAH Rates'!$C$34 + 0</f>
        <v>316.98</v>
      </c>
      <c r="E43" s="63">
        <v>11</v>
      </c>
      <c r="F43" s="17" t="str">
        <f>BAH[[#This Row],[Year]] &amp; BAH[[#This Row],[Rank]]</f>
        <v>2024O-2</v>
      </c>
      <c r="G43" s="21" t="s">
        <v>111</v>
      </c>
      <c r="H43" s="21">
        <v>13</v>
      </c>
      <c r="K43" s="128" t="s">
        <v>101</v>
      </c>
      <c r="L43" s="128" t="s">
        <v>614</v>
      </c>
      <c r="M43" s="132">
        <v>42</v>
      </c>
      <c r="AL43" s="28" t="s">
        <v>267</v>
      </c>
    </row>
    <row r="44" spans="1:39" ht="15.75" customHeight="1" x14ac:dyDescent="0.25">
      <c r="A44" s="21">
        <v>2024</v>
      </c>
      <c r="B44" s="61" t="s">
        <v>91</v>
      </c>
      <c r="C44" s="33">
        <f>'2024 Non-Locality BAH Rates'!D15</f>
        <v>1335</v>
      </c>
      <c r="D44" s="135">
        <f>'2024 Non-Locality BAH Rates'!$C$34 + 0</f>
        <v>316.98</v>
      </c>
      <c r="E44" s="63">
        <v>13</v>
      </c>
      <c r="F44" s="17" t="str">
        <f>BAH[[#This Row],[Year]] &amp; BAH[[#This Row],[Rank]]</f>
        <v>2024O-1</v>
      </c>
      <c r="G44" s="21" t="s">
        <v>111</v>
      </c>
      <c r="H44" s="21">
        <v>12</v>
      </c>
      <c r="K44" s="128" t="s">
        <v>101</v>
      </c>
      <c r="L44" s="128" t="s">
        <v>615</v>
      </c>
      <c r="M44" s="132">
        <v>43</v>
      </c>
      <c r="AL44" s="28" t="s">
        <v>268</v>
      </c>
    </row>
    <row r="45" spans="1:39" ht="15.75" customHeight="1" x14ac:dyDescent="0.25">
      <c r="A45" s="21">
        <v>2024</v>
      </c>
      <c r="B45" s="61" t="s">
        <v>12</v>
      </c>
      <c r="C45" s="33">
        <f>'2024 Non-Locality BAH Rates'!D16</f>
        <v>1878.3</v>
      </c>
      <c r="D45" s="135">
        <f>'2024 Non-Locality BAH Rates'!$C$34 + 0</f>
        <v>316.98</v>
      </c>
      <c r="E45" s="63">
        <v>8</v>
      </c>
      <c r="F45" s="17" t="str">
        <f>BAH[[#This Row],[Year]] &amp; BAH[[#This Row],[Rank]]</f>
        <v>2024O3E</v>
      </c>
      <c r="G45" s="21" t="s">
        <v>111</v>
      </c>
      <c r="H45" s="21">
        <v>14</v>
      </c>
      <c r="K45" s="128" t="s">
        <v>101</v>
      </c>
      <c r="L45" s="128" t="s">
        <v>616</v>
      </c>
      <c r="M45" s="132">
        <v>44</v>
      </c>
      <c r="AL45" s="28" t="s">
        <v>269</v>
      </c>
    </row>
    <row r="46" spans="1:39" ht="15.75" customHeight="1" x14ac:dyDescent="0.25">
      <c r="A46" s="21">
        <v>2024</v>
      </c>
      <c r="B46" s="61" t="s">
        <v>11</v>
      </c>
      <c r="C46" s="33">
        <f>'2024 Non-Locality BAH Rates'!D17</f>
        <v>1695.3</v>
      </c>
      <c r="D46" s="135">
        <f>'2024 Non-Locality BAH Rates'!$C$34 + 0</f>
        <v>316.98</v>
      </c>
      <c r="E46" s="63">
        <v>10</v>
      </c>
      <c r="F46" s="17" t="str">
        <f>BAH[[#This Row],[Year]] &amp; BAH[[#This Row],[Rank]]</f>
        <v>2024O2E</v>
      </c>
      <c r="G46" s="21" t="s">
        <v>111</v>
      </c>
      <c r="H46" s="21">
        <v>13</v>
      </c>
      <c r="K46" s="128" t="s">
        <v>101</v>
      </c>
      <c r="L46" s="128" t="s">
        <v>617</v>
      </c>
      <c r="M46" s="132">
        <v>45</v>
      </c>
      <c r="AL46" s="28"/>
      <c r="AM46" t="s">
        <v>206</v>
      </c>
    </row>
    <row r="47" spans="1:39" ht="15.75" customHeight="1" x14ac:dyDescent="0.25">
      <c r="A47" s="21">
        <v>2024</v>
      </c>
      <c r="B47" s="61" t="s">
        <v>10</v>
      </c>
      <c r="C47" s="33">
        <f>'2024 Non-Locality BAH Rates'!D18</f>
        <v>1566.9</v>
      </c>
      <c r="D47" s="135">
        <f>'2024 Non-Locality BAH Rates'!$C$34 + 0</f>
        <v>316.98</v>
      </c>
      <c r="E47" s="63">
        <v>12</v>
      </c>
      <c r="F47" s="17" t="str">
        <f>BAH[[#This Row],[Year]] &amp; BAH[[#This Row],[Rank]]</f>
        <v>2024O1E</v>
      </c>
      <c r="G47" s="21" t="s">
        <v>111</v>
      </c>
      <c r="H47" s="21">
        <v>12</v>
      </c>
      <c r="K47" s="128" t="s">
        <v>96</v>
      </c>
      <c r="L47" s="128" t="s">
        <v>618</v>
      </c>
      <c r="M47" s="132">
        <v>46</v>
      </c>
      <c r="AL47" s="28" t="s">
        <v>270</v>
      </c>
    </row>
    <row r="48" spans="1:39" ht="15.75" customHeight="1" x14ac:dyDescent="0.25">
      <c r="A48" s="21">
        <v>2024</v>
      </c>
      <c r="B48" s="61" t="s">
        <v>92</v>
      </c>
      <c r="C48" s="33">
        <f>'2024 Non-Locality BAH Rates'!D19</f>
        <v>2040</v>
      </c>
      <c r="D48" s="135">
        <f>'2024 Non-Locality BAH Rates'!$C$34 + 0</f>
        <v>316.98</v>
      </c>
      <c r="E48" s="63">
        <v>14</v>
      </c>
      <c r="F48" s="17" t="str">
        <f>BAH[[#This Row],[Year]] &amp; BAH[[#This Row],[Rank]]</f>
        <v>2024W-5</v>
      </c>
      <c r="G48" s="21" t="s">
        <v>111</v>
      </c>
      <c r="H48" s="21">
        <v>16</v>
      </c>
      <c r="K48" s="128" t="s">
        <v>96</v>
      </c>
      <c r="L48" s="128" t="s">
        <v>619</v>
      </c>
      <c r="M48" s="132">
        <v>47</v>
      </c>
      <c r="AL48" s="28" t="s">
        <v>271</v>
      </c>
    </row>
    <row r="49" spans="1:39" ht="15.75" customHeight="1" x14ac:dyDescent="0.25">
      <c r="A49" s="21">
        <v>2024</v>
      </c>
      <c r="B49" s="61" t="s">
        <v>93</v>
      </c>
      <c r="C49" s="33">
        <f>'2024 Non-Locality BAH Rates'!D20</f>
        <v>1870.2</v>
      </c>
      <c r="D49" s="135">
        <f>'2024 Non-Locality BAH Rates'!$C$34 + 0</f>
        <v>316.98</v>
      </c>
      <c r="E49" s="63">
        <v>15</v>
      </c>
      <c r="F49" s="17" t="str">
        <f>BAH[[#This Row],[Year]] &amp; BAH[[#This Row],[Rank]]</f>
        <v>2024W-4</v>
      </c>
      <c r="G49" s="21" t="s">
        <v>111</v>
      </c>
      <c r="H49" s="21">
        <v>15</v>
      </c>
      <c r="K49" s="128" t="s">
        <v>96</v>
      </c>
      <c r="L49" s="128" t="s">
        <v>602</v>
      </c>
      <c r="M49" s="132">
        <v>48</v>
      </c>
      <c r="AL49" s="28" t="s">
        <v>272</v>
      </c>
    </row>
    <row r="50" spans="1:39" ht="15.75" customHeight="1" x14ac:dyDescent="0.25">
      <c r="A50" s="21">
        <v>2024</v>
      </c>
      <c r="B50" s="61" t="s">
        <v>94</v>
      </c>
      <c r="C50" s="33">
        <f>'2024 Non-Locality BAH Rates'!D21</f>
        <v>1714.2</v>
      </c>
      <c r="D50" s="135">
        <f>'2024 Non-Locality BAH Rates'!$C$34 + 0</f>
        <v>316.98</v>
      </c>
      <c r="E50" s="63">
        <v>16</v>
      </c>
      <c r="F50" s="17" t="str">
        <f>BAH[[#This Row],[Year]] &amp; BAH[[#This Row],[Rank]]</f>
        <v>2024W-3</v>
      </c>
      <c r="G50" s="21" t="s">
        <v>111</v>
      </c>
      <c r="H50" s="21">
        <v>14</v>
      </c>
      <c r="K50" s="128" t="s">
        <v>96</v>
      </c>
      <c r="L50" s="128" t="s">
        <v>603</v>
      </c>
      <c r="M50" s="132">
        <v>49</v>
      </c>
      <c r="AL50" s="28" t="s">
        <v>273</v>
      </c>
    </row>
    <row r="51" spans="1:39" ht="15.75" customHeight="1" x14ac:dyDescent="0.25">
      <c r="A51" s="21">
        <v>2024</v>
      </c>
      <c r="B51" s="61" t="s">
        <v>95</v>
      </c>
      <c r="C51" s="33">
        <f>'2024 Non-Locality BAH Rates'!D22</f>
        <v>1575</v>
      </c>
      <c r="D51" s="135">
        <f>'2024 Non-Locality BAH Rates'!$C$34 + 0</f>
        <v>316.98</v>
      </c>
      <c r="E51" s="63">
        <v>17</v>
      </c>
      <c r="F51" s="17" t="str">
        <f>BAH[[#This Row],[Year]] &amp; BAH[[#This Row],[Rank]]</f>
        <v>2024W-2</v>
      </c>
      <c r="G51" s="21" t="s">
        <v>111</v>
      </c>
      <c r="H51" s="21">
        <v>13</v>
      </c>
      <c r="K51" s="128" t="s">
        <v>96</v>
      </c>
      <c r="L51" s="128" t="s">
        <v>604</v>
      </c>
      <c r="M51" s="132">
        <v>50</v>
      </c>
      <c r="AL51" s="28" t="s">
        <v>274</v>
      </c>
    </row>
    <row r="52" spans="1:39" ht="15.75" customHeight="1" x14ac:dyDescent="0.25">
      <c r="A52" s="21">
        <v>2024</v>
      </c>
      <c r="B52" s="61" t="s">
        <v>96</v>
      </c>
      <c r="C52" s="33">
        <f>'2024 Non-Locality BAH Rates'!D23</f>
        <v>1363.5</v>
      </c>
      <c r="D52" s="135">
        <f>'2024 Non-Locality BAH Rates'!$C$34 + 0</f>
        <v>316.98</v>
      </c>
      <c r="E52" s="63">
        <v>18</v>
      </c>
      <c r="F52" s="17" t="str">
        <f>BAH[[#This Row],[Year]] &amp; BAH[[#This Row],[Rank]]</f>
        <v>2024W-1</v>
      </c>
      <c r="G52" s="21" t="s">
        <v>111</v>
      </c>
      <c r="H52" s="21">
        <v>12</v>
      </c>
      <c r="K52" s="128" t="s">
        <v>96</v>
      </c>
      <c r="L52" s="128" t="s">
        <v>605</v>
      </c>
      <c r="M52" s="132">
        <v>51</v>
      </c>
      <c r="AL52" s="28" t="s">
        <v>275</v>
      </c>
    </row>
    <row r="53" spans="1:39" ht="15.75" customHeight="1" x14ac:dyDescent="0.25">
      <c r="A53" s="21">
        <v>2024</v>
      </c>
      <c r="B53" s="61" t="s">
        <v>97</v>
      </c>
      <c r="C53" s="33">
        <f>'2024 Non-Locality BAH Rates'!D24</f>
        <v>1794.6</v>
      </c>
      <c r="D53" s="135">
        <f>'2024 Non-Locality BAH Rates'!$C$35 + 0</f>
        <v>460.25</v>
      </c>
      <c r="E53" s="63">
        <v>19</v>
      </c>
      <c r="F53" s="17" t="str">
        <f>BAH[[#This Row],[Year]] &amp; BAH[[#This Row],[Rank]]</f>
        <v>2024E-9</v>
      </c>
      <c r="G53" s="21" t="s">
        <v>111</v>
      </c>
      <c r="H53" s="21">
        <v>11</v>
      </c>
      <c r="K53" s="128" t="s">
        <v>88</v>
      </c>
      <c r="L53" s="128" t="s">
        <v>606</v>
      </c>
      <c r="M53" s="132">
        <v>52</v>
      </c>
      <c r="AL53" s="28" t="s">
        <v>276</v>
      </c>
    </row>
    <row r="54" spans="1:39" ht="15.75" customHeight="1" x14ac:dyDescent="0.25">
      <c r="A54" s="21">
        <v>2024</v>
      </c>
      <c r="B54" s="61" t="s">
        <v>98</v>
      </c>
      <c r="C54" s="33">
        <f>'2024 Non-Locality BAH Rates'!D25</f>
        <v>1655.1</v>
      </c>
      <c r="D54" s="135">
        <f>'2024 Non-Locality BAH Rates'!$C$35 + 0</f>
        <v>460.25</v>
      </c>
      <c r="E54" s="63">
        <v>20</v>
      </c>
      <c r="F54" s="17" t="str">
        <f>BAH[[#This Row],[Year]] &amp; BAH[[#This Row],[Rank]]</f>
        <v>2024E-8</v>
      </c>
      <c r="G54" s="21" t="s">
        <v>111</v>
      </c>
      <c r="H54" s="21">
        <v>10</v>
      </c>
      <c r="K54" s="128" t="s">
        <v>88</v>
      </c>
      <c r="L54" s="128" t="s">
        <v>607</v>
      </c>
      <c r="M54" s="132">
        <v>53</v>
      </c>
      <c r="AL54" s="28" t="s">
        <v>277</v>
      </c>
    </row>
    <row r="55" spans="1:39" x14ac:dyDescent="0.25">
      <c r="A55" s="21">
        <v>2024</v>
      </c>
      <c r="B55" s="61" t="s">
        <v>99</v>
      </c>
      <c r="C55" s="33">
        <f>'2024 Non-Locality BAH Rates'!D26</f>
        <v>1535.7</v>
      </c>
      <c r="D55" s="135">
        <f>'2024 Non-Locality BAH Rates'!$C$35 + 0</f>
        <v>460.25</v>
      </c>
      <c r="E55" s="63">
        <v>21</v>
      </c>
      <c r="F55" s="17" t="str">
        <f>BAH[[#This Row],[Year]] &amp; BAH[[#This Row],[Rank]]</f>
        <v>2024E-7</v>
      </c>
      <c r="G55" s="21" t="s">
        <v>111</v>
      </c>
      <c r="H55" s="21">
        <v>9</v>
      </c>
      <c r="K55" s="128" t="s">
        <v>88</v>
      </c>
      <c r="L55" s="128" t="s">
        <v>608</v>
      </c>
      <c r="M55" s="132">
        <v>54</v>
      </c>
      <c r="AL55" s="28" t="s">
        <v>278</v>
      </c>
    </row>
    <row r="56" spans="1:39" x14ac:dyDescent="0.25">
      <c r="A56" s="21">
        <v>2024</v>
      </c>
      <c r="B56" s="61" t="s">
        <v>100</v>
      </c>
      <c r="C56" s="33">
        <f>'2024 Non-Locality BAH Rates'!D27</f>
        <v>1419.3</v>
      </c>
      <c r="D56" s="135">
        <f>'2024 Non-Locality BAH Rates'!$C$35 + 0</f>
        <v>460.25</v>
      </c>
      <c r="E56" s="63">
        <v>22</v>
      </c>
      <c r="F56" s="17" t="str">
        <f>BAH[[#This Row],[Year]] &amp; BAH[[#This Row],[Rank]]</f>
        <v>2024E-6</v>
      </c>
      <c r="G56" s="21" t="s">
        <v>111</v>
      </c>
      <c r="H56" s="21">
        <v>8</v>
      </c>
      <c r="K56" s="128" t="s">
        <v>88</v>
      </c>
      <c r="L56" s="128" t="s">
        <v>609</v>
      </c>
      <c r="M56" s="132">
        <v>55</v>
      </c>
      <c r="AL56" s="28" t="s">
        <v>279</v>
      </c>
    </row>
    <row r="57" spans="1:39" x14ac:dyDescent="0.25">
      <c r="A57" s="21">
        <v>2024</v>
      </c>
      <c r="B57" s="61" t="s">
        <v>101</v>
      </c>
      <c r="C57" s="33">
        <f>'2024 Non-Locality BAH Rates'!D28</f>
        <v>1277.4000000000001</v>
      </c>
      <c r="D57" s="135">
        <f>'2024 Non-Locality BAH Rates'!$C$35 + 0</f>
        <v>460.25</v>
      </c>
      <c r="E57" s="63">
        <v>23</v>
      </c>
      <c r="F57" s="17" t="str">
        <f>BAH[[#This Row],[Year]] &amp; BAH[[#This Row],[Rank]]</f>
        <v>2024E-5</v>
      </c>
      <c r="G57" s="21" t="s">
        <v>111</v>
      </c>
      <c r="H57" s="21">
        <v>7</v>
      </c>
      <c r="K57" s="128" t="s">
        <v>88</v>
      </c>
      <c r="L57" s="128" t="s">
        <v>610</v>
      </c>
      <c r="M57" s="132">
        <v>56</v>
      </c>
      <c r="AL57" s="28"/>
      <c r="AM57" t="s">
        <v>206</v>
      </c>
    </row>
    <row r="58" spans="1:39" x14ac:dyDescent="0.25">
      <c r="A58" s="21">
        <v>2024</v>
      </c>
      <c r="B58" s="61" t="s">
        <v>102</v>
      </c>
      <c r="C58" s="33">
        <f>'2024 Non-Locality BAH Rates'!D29</f>
        <v>1110</v>
      </c>
      <c r="D58" s="135">
        <f>'2024 Non-Locality BAH Rates'!$C$35 + 0</f>
        <v>460.25</v>
      </c>
      <c r="E58" s="63">
        <v>24</v>
      </c>
      <c r="F58" s="17" t="str">
        <f>BAH[[#This Row],[Year]] &amp; BAH[[#This Row],[Rank]]</f>
        <v>2024E-4</v>
      </c>
      <c r="G58" s="21" t="s">
        <v>111</v>
      </c>
      <c r="H58" s="21">
        <v>6</v>
      </c>
      <c r="K58" s="128" t="s">
        <v>88</v>
      </c>
      <c r="L58" s="128" t="s">
        <v>611</v>
      </c>
      <c r="M58" s="132">
        <v>57</v>
      </c>
      <c r="AL58" s="28" t="s">
        <v>280</v>
      </c>
    </row>
    <row r="59" spans="1:39" x14ac:dyDescent="0.25">
      <c r="A59" s="21">
        <v>2024</v>
      </c>
      <c r="B59" s="61" t="s">
        <v>103</v>
      </c>
      <c r="C59" s="33">
        <f>'2024 Non-Locality BAH Rates'!D30</f>
        <v>1032</v>
      </c>
      <c r="D59" s="135">
        <f>'2024 Non-Locality BAH Rates'!$C$35 + 0</f>
        <v>460.25</v>
      </c>
      <c r="E59" s="63">
        <v>25</v>
      </c>
      <c r="F59" s="17" t="str">
        <f>BAH[[#This Row],[Year]] &amp; BAH[[#This Row],[Rank]]</f>
        <v>2024E-3</v>
      </c>
      <c r="G59" s="21" t="s">
        <v>111</v>
      </c>
      <c r="H59" s="21">
        <v>5</v>
      </c>
      <c r="K59" s="128" t="s">
        <v>85</v>
      </c>
      <c r="L59" s="128" t="s">
        <v>620</v>
      </c>
      <c r="M59" s="132">
        <v>58</v>
      </c>
    </row>
    <row r="60" spans="1:39" x14ac:dyDescent="0.25">
      <c r="A60" s="21">
        <v>2024</v>
      </c>
      <c r="B60" s="61" t="s">
        <v>104</v>
      </c>
      <c r="C60" s="33">
        <f>'2024 Non-Locality BAH Rates'!D31</f>
        <v>983.7</v>
      </c>
      <c r="D60" s="135">
        <f>'2024 Non-Locality BAH Rates'!$C$35 + 0</f>
        <v>460.25</v>
      </c>
      <c r="E60" s="63">
        <v>26</v>
      </c>
      <c r="F60" s="17" t="str">
        <f>BAH[[#This Row],[Year]] &amp; BAH[[#This Row],[Rank]]</f>
        <v>2024E-2</v>
      </c>
      <c r="G60" s="21" t="s">
        <v>111</v>
      </c>
      <c r="H60" s="21">
        <v>4</v>
      </c>
      <c r="K60" s="128" t="s">
        <v>105</v>
      </c>
      <c r="L60" s="128" t="s">
        <v>621</v>
      </c>
      <c r="M60" s="132">
        <v>59</v>
      </c>
    </row>
    <row r="61" spans="1:39" x14ac:dyDescent="0.25">
      <c r="A61" s="21">
        <v>2024</v>
      </c>
      <c r="B61" s="61" t="s">
        <v>105</v>
      </c>
      <c r="C61" s="33">
        <f>'2024 Non-Locality BAH Rates'!D32</f>
        <v>983.7</v>
      </c>
      <c r="D61" s="135">
        <f>'2024 Non-Locality BAH Rates'!$C$35 + 0</f>
        <v>460.25</v>
      </c>
      <c r="E61" s="63">
        <v>27</v>
      </c>
      <c r="F61" s="17" t="str">
        <f>BAH[[#This Row],[Year]] &amp; BAH[[#This Row],[Rank]]</f>
        <v>2024E-1</v>
      </c>
      <c r="G61" s="21" t="s">
        <v>111</v>
      </c>
      <c r="H61" s="21">
        <v>3</v>
      </c>
      <c r="K61" s="128" t="s">
        <v>105</v>
      </c>
      <c r="L61" s="128" t="s">
        <v>628</v>
      </c>
      <c r="M61" s="132">
        <v>60</v>
      </c>
    </row>
    <row r="62" spans="1:39" x14ac:dyDescent="0.25">
      <c r="A62" s="21">
        <v>2024</v>
      </c>
      <c r="B62" s="61" t="s">
        <v>20</v>
      </c>
      <c r="C62" s="62">
        <v>0</v>
      </c>
      <c r="D62" s="135">
        <v>0</v>
      </c>
      <c r="E62" s="63">
        <v>28</v>
      </c>
      <c r="F62" s="17" t="str">
        <f>BAH[[#This Row],[Year]] &amp; BAH[[#This Row],[Rank]]</f>
        <v>2024DoD Civilian</v>
      </c>
      <c r="G62" s="21" t="s">
        <v>111</v>
      </c>
      <c r="H62" s="21">
        <v>2</v>
      </c>
      <c r="K62" s="128" t="s">
        <v>105</v>
      </c>
      <c r="L62" s="128" t="s">
        <v>629</v>
      </c>
      <c r="M62" s="132">
        <v>61</v>
      </c>
    </row>
    <row r="63" spans="1:39" x14ac:dyDescent="0.25">
      <c r="A63" s="21">
        <v>2024</v>
      </c>
      <c r="B63" s="61" t="s">
        <v>21</v>
      </c>
      <c r="C63" s="62">
        <v>0</v>
      </c>
      <c r="D63" s="135">
        <v>0</v>
      </c>
      <c r="E63" s="63">
        <v>29</v>
      </c>
      <c r="F63" s="17" t="str">
        <f>BAH[[#This Row],[Year]] &amp; BAH[[#This Row],[Rank]]</f>
        <v>2024DoD Contractor</v>
      </c>
      <c r="G63" s="21" t="s">
        <v>164</v>
      </c>
      <c r="H63" s="21">
        <v>1</v>
      </c>
      <c r="K63" s="128" t="s">
        <v>105</v>
      </c>
      <c r="L63" s="128" t="s">
        <v>630</v>
      </c>
      <c r="M63" s="132">
        <v>62</v>
      </c>
    </row>
    <row r="64" spans="1:39" x14ac:dyDescent="0.25">
      <c r="A64" s="21">
        <v>2024</v>
      </c>
      <c r="B64" s="61" t="s">
        <v>22</v>
      </c>
      <c r="C64" s="62">
        <v>0</v>
      </c>
      <c r="D64" s="135">
        <v>0</v>
      </c>
      <c r="E64" s="63">
        <v>30</v>
      </c>
      <c r="F64" s="17" t="str">
        <f>BAH[[#This Row],[Year]] &amp; BAH[[#This Row],[Rank]]</f>
        <v xml:space="preserve">2024Other Federal </v>
      </c>
      <c r="G64" s="21" t="s">
        <v>164</v>
      </c>
      <c r="H64" s="21">
        <v>0</v>
      </c>
      <c r="K64" s="128" t="s">
        <v>105</v>
      </c>
      <c r="L64" s="128" t="s">
        <v>631</v>
      </c>
      <c r="M64" s="132">
        <v>63</v>
      </c>
    </row>
    <row r="65" spans="1:13" x14ac:dyDescent="0.25">
      <c r="A65" s="21">
        <v>2024</v>
      </c>
      <c r="B65" s="61" t="s">
        <v>23</v>
      </c>
      <c r="C65" s="62">
        <v>0</v>
      </c>
      <c r="D65" s="135">
        <v>0</v>
      </c>
      <c r="E65" s="63">
        <v>31</v>
      </c>
      <c r="F65" s="17" t="str">
        <f>BAH[[#This Row],[Year]] &amp; BAH[[#This Row],[Rank]]</f>
        <v>2024Retiree</v>
      </c>
      <c r="G65" s="21" t="s">
        <v>164</v>
      </c>
      <c r="H65" s="21">
        <v>0</v>
      </c>
      <c r="K65" s="128" t="s">
        <v>105</v>
      </c>
      <c r="L65" s="128" t="s">
        <v>632</v>
      </c>
      <c r="M65" s="132">
        <v>64</v>
      </c>
    </row>
    <row r="66" spans="1:13" x14ac:dyDescent="0.25">
      <c r="A66" s="21">
        <v>2024</v>
      </c>
      <c r="B66" s="61" t="s">
        <v>6</v>
      </c>
      <c r="C66" s="33">
        <v>0</v>
      </c>
      <c r="D66" s="135">
        <v>0</v>
      </c>
      <c r="E66" s="63">
        <v>32</v>
      </c>
      <c r="F66" s="17" t="str">
        <f>BAH[[#This Row],[Year]] &amp; BAH[[#This Row],[Rank]]</f>
        <v>2024Other</v>
      </c>
      <c r="G66" s="21" t="s">
        <v>164</v>
      </c>
      <c r="H66" s="21">
        <v>0</v>
      </c>
      <c r="K66" s="128" t="s">
        <v>105</v>
      </c>
      <c r="L66" s="128" t="s">
        <v>633</v>
      </c>
      <c r="M66" s="132">
        <v>65</v>
      </c>
    </row>
    <row r="67" spans="1:13" x14ac:dyDescent="0.25">
      <c r="B67" s="2"/>
      <c r="C67" s="33"/>
      <c r="D67" s="62"/>
      <c r="E67" s="17"/>
      <c r="F67" s="17"/>
      <c r="H67" s="21"/>
      <c r="K67" s="128" t="s">
        <v>105</v>
      </c>
      <c r="L67" s="128" t="s">
        <v>634</v>
      </c>
      <c r="M67" s="132">
        <v>66</v>
      </c>
    </row>
    <row r="68" spans="1:13" x14ac:dyDescent="0.25">
      <c r="B68" s="2"/>
      <c r="C68" s="33"/>
      <c r="D68" s="62"/>
      <c r="E68" s="17"/>
      <c r="F68" s="17"/>
      <c r="H68" s="21"/>
      <c r="K68" s="128" t="s">
        <v>101</v>
      </c>
      <c r="L68" s="128" t="s">
        <v>635</v>
      </c>
      <c r="M68" s="132">
        <v>67</v>
      </c>
    </row>
    <row r="69" spans="1:13" x14ac:dyDescent="0.25">
      <c r="B69" s="2"/>
      <c r="C69" s="33"/>
      <c r="D69" s="62"/>
      <c r="E69" s="17"/>
      <c r="F69" s="17"/>
      <c r="H69" s="21"/>
      <c r="K69" s="128" t="s">
        <v>101</v>
      </c>
      <c r="L69" s="128" t="s">
        <v>622</v>
      </c>
      <c r="M69" s="132">
        <v>68</v>
      </c>
    </row>
    <row r="70" spans="1:13" x14ac:dyDescent="0.25">
      <c r="B70" s="2"/>
      <c r="C70" s="33"/>
      <c r="D70" s="62"/>
      <c r="E70" s="17"/>
      <c r="F70" s="17"/>
      <c r="H70" s="21"/>
      <c r="K70" s="128" t="s">
        <v>101</v>
      </c>
      <c r="L70" s="128" t="s">
        <v>623</v>
      </c>
      <c r="M70" s="132">
        <v>69</v>
      </c>
    </row>
    <row r="71" spans="1:13" x14ac:dyDescent="0.25">
      <c r="B71" s="2"/>
      <c r="C71" s="33"/>
      <c r="D71" s="62"/>
      <c r="E71" s="17"/>
      <c r="F71" s="17"/>
      <c r="H71" s="21"/>
      <c r="K71" s="128" t="s">
        <v>96</v>
      </c>
      <c r="L71" s="128" t="s">
        <v>624</v>
      </c>
      <c r="M71" s="132">
        <v>70</v>
      </c>
    </row>
    <row r="72" spans="1:13" x14ac:dyDescent="0.25">
      <c r="B72" s="2"/>
      <c r="C72" s="33"/>
      <c r="D72" s="62"/>
      <c r="E72" s="17"/>
      <c r="F72" s="17"/>
      <c r="H72" s="21"/>
      <c r="K72" s="128" t="s">
        <v>96</v>
      </c>
      <c r="L72" s="128" t="s">
        <v>625</v>
      </c>
      <c r="M72" s="132">
        <v>71</v>
      </c>
    </row>
    <row r="73" spans="1:13" x14ac:dyDescent="0.25">
      <c r="B73" s="2"/>
      <c r="C73" s="33"/>
      <c r="D73" s="62"/>
      <c r="E73" s="17"/>
      <c r="F73" s="17"/>
      <c r="H73" s="21"/>
      <c r="K73" s="128" t="s">
        <v>96</v>
      </c>
      <c r="L73" s="128" t="s">
        <v>626</v>
      </c>
      <c r="M73" s="132">
        <v>72</v>
      </c>
    </row>
    <row r="74" spans="1:13" x14ac:dyDescent="0.25">
      <c r="B74" s="2"/>
      <c r="C74" s="33"/>
      <c r="D74" s="62"/>
      <c r="E74" s="17"/>
      <c r="F74" s="17"/>
      <c r="H74" s="21"/>
      <c r="K74" s="128" t="s">
        <v>96</v>
      </c>
      <c r="L74" s="128" t="s">
        <v>627</v>
      </c>
      <c r="M74" s="132">
        <v>73</v>
      </c>
    </row>
    <row r="75" spans="1:13" x14ac:dyDescent="0.25">
      <c r="B75" s="2"/>
      <c r="C75" s="33"/>
      <c r="D75" s="62"/>
      <c r="E75" s="17"/>
      <c r="F75" s="17"/>
      <c r="H75" s="21"/>
      <c r="K75" s="128" t="s">
        <v>101</v>
      </c>
      <c r="L75" s="128" t="s">
        <v>636</v>
      </c>
      <c r="M75" s="132">
        <v>74</v>
      </c>
    </row>
    <row r="76" spans="1:13" x14ac:dyDescent="0.25">
      <c r="B76" s="2"/>
      <c r="C76" s="33"/>
      <c r="D76" s="62"/>
      <c r="E76" s="17"/>
      <c r="F76" s="17"/>
      <c r="H76" s="21"/>
      <c r="K76" s="128" t="s">
        <v>101</v>
      </c>
      <c r="L76" s="128" t="s">
        <v>643</v>
      </c>
      <c r="M76" s="132">
        <v>75</v>
      </c>
    </row>
    <row r="77" spans="1:13" x14ac:dyDescent="0.25">
      <c r="B77" s="2"/>
      <c r="C77" s="33"/>
      <c r="D77" s="62"/>
      <c r="E77" s="17"/>
      <c r="F77" s="17"/>
      <c r="H77" s="21"/>
      <c r="K77" s="128" t="s">
        <v>101</v>
      </c>
      <c r="L77" s="128" t="s">
        <v>644</v>
      </c>
      <c r="M77" s="132">
        <v>76</v>
      </c>
    </row>
    <row r="78" spans="1:13" x14ac:dyDescent="0.25">
      <c r="B78" s="2"/>
      <c r="C78" s="33"/>
      <c r="D78" s="62"/>
      <c r="E78" s="17"/>
      <c r="F78" s="17"/>
      <c r="H78" s="21"/>
      <c r="K78" s="128" t="s">
        <v>101</v>
      </c>
      <c r="L78" s="128" t="s">
        <v>645</v>
      </c>
      <c r="M78" s="132">
        <v>77</v>
      </c>
    </row>
    <row r="79" spans="1:13" x14ac:dyDescent="0.25">
      <c r="B79" s="2"/>
      <c r="C79" s="33"/>
      <c r="D79" s="62"/>
      <c r="E79" s="17"/>
      <c r="F79" s="17"/>
      <c r="H79" s="21"/>
      <c r="K79" s="128" t="s">
        <v>101</v>
      </c>
      <c r="L79" s="128" t="s">
        <v>646</v>
      </c>
      <c r="M79" s="132">
        <v>78</v>
      </c>
    </row>
    <row r="80" spans="1:13" x14ac:dyDescent="0.25">
      <c r="B80" s="2"/>
      <c r="C80" s="33"/>
      <c r="D80" s="62"/>
      <c r="E80" s="17"/>
      <c r="F80" s="17"/>
      <c r="H80" s="21"/>
      <c r="K80" s="128" t="s">
        <v>96</v>
      </c>
      <c r="L80" s="128" t="s">
        <v>647</v>
      </c>
      <c r="M80" s="132">
        <v>79</v>
      </c>
    </row>
    <row r="81" spans="2:13" x14ac:dyDescent="0.25">
      <c r="B81" s="2"/>
      <c r="C81" s="33"/>
      <c r="D81" s="62"/>
      <c r="E81" s="17"/>
      <c r="F81" s="17"/>
      <c r="H81" s="21"/>
      <c r="K81" s="128" t="s">
        <v>96</v>
      </c>
      <c r="L81" s="128" t="s">
        <v>648</v>
      </c>
      <c r="M81" s="132">
        <v>80</v>
      </c>
    </row>
    <row r="82" spans="2:13" x14ac:dyDescent="0.25">
      <c r="B82" s="2"/>
      <c r="C82" s="33"/>
      <c r="D82" s="62"/>
      <c r="E82" s="17"/>
      <c r="F82" s="17"/>
      <c r="H82" s="21"/>
      <c r="K82" s="128" t="s">
        <v>96</v>
      </c>
      <c r="L82" s="128" t="s">
        <v>649</v>
      </c>
      <c r="M82" s="132">
        <v>81</v>
      </c>
    </row>
    <row r="83" spans="2:13" x14ac:dyDescent="0.25">
      <c r="B83" s="2"/>
      <c r="C83" s="33"/>
      <c r="D83" s="62"/>
      <c r="E83" s="17"/>
      <c r="F83" s="17"/>
      <c r="H83" s="21"/>
      <c r="K83" s="128" t="s">
        <v>96</v>
      </c>
      <c r="L83" s="128" t="s">
        <v>650</v>
      </c>
      <c r="M83" s="132">
        <v>82</v>
      </c>
    </row>
    <row r="84" spans="2:13" x14ac:dyDescent="0.25">
      <c r="B84" s="2"/>
      <c r="C84" s="33"/>
      <c r="D84" s="62"/>
      <c r="E84" s="17"/>
      <c r="F84" s="17"/>
      <c r="H84" s="21"/>
      <c r="K84" s="128" t="s">
        <v>96</v>
      </c>
      <c r="L84" s="128" t="s">
        <v>637</v>
      </c>
      <c r="M84" s="132">
        <v>83</v>
      </c>
    </row>
    <row r="85" spans="2:13" x14ac:dyDescent="0.25">
      <c r="B85" s="2"/>
      <c r="C85" s="33"/>
      <c r="D85" s="62"/>
      <c r="E85" s="17"/>
      <c r="F85" s="17"/>
      <c r="H85" s="21"/>
      <c r="K85" s="128" t="s">
        <v>96</v>
      </c>
      <c r="L85" s="128" t="s">
        <v>638</v>
      </c>
      <c r="M85" s="132">
        <v>84</v>
      </c>
    </row>
    <row r="86" spans="2:13" x14ac:dyDescent="0.25">
      <c r="B86" s="2"/>
      <c r="C86" s="33"/>
      <c r="D86" s="62"/>
      <c r="E86" s="17"/>
      <c r="F86" s="17"/>
      <c r="H86" s="21"/>
      <c r="K86" s="128" t="s">
        <v>96</v>
      </c>
      <c r="L86" s="128" t="s">
        <v>639</v>
      </c>
      <c r="M86" s="132">
        <v>85</v>
      </c>
    </row>
    <row r="87" spans="2:13" x14ac:dyDescent="0.25">
      <c r="B87" s="2"/>
      <c r="C87" s="33"/>
      <c r="D87" s="62"/>
      <c r="E87" s="17"/>
      <c r="F87" s="17"/>
      <c r="H87" s="21"/>
      <c r="K87" s="128" t="s">
        <v>96</v>
      </c>
      <c r="L87" s="128" t="s">
        <v>640</v>
      </c>
      <c r="M87" s="132">
        <v>86</v>
      </c>
    </row>
    <row r="88" spans="2:13" x14ac:dyDescent="0.25">
      <c r="B88" s="2"/>
      <c r="C88" s="33"/>
      <c r="D88" s="62"/>
      <c r="E88" s="17"/>
      <c r="F88" s="17"/>
      <c r="H88" s="21"/>
      <c r="K88" s="128" t="s">
        <v>96</v>
      </c>
      <c r="L88" s="128" t="s">
        <v>641</v>
      </c>
      <c r="M88" s="132">
        <v>87</v>
      </c>
    </row>
    <row r="89" spans="2:13" x14ac:dyDescent="0.25">
      <c r="B89" s="2"/>
      <c r="C89" s="33"/>
      <c r="D89" s="62"/>
      <c r="E89" s="17"/>
      <c r="F89" s="17"/>
      <c r="H89" s="21"/>
      <c r="K89" s="128" t="s">
        <v>88</v>
      </c>
      <c r="L89" s="128" t="s">
        <v>642</v>
      </c>
      <c r="M89" s="132">
        <v>88</v>
      </c>
    </row>
    <row r="90" spans="2:13" x14ac:dyDescent="0.25">
      <c r="B90" s="2"/>
      <c r="C90" s="33"/>
      <c r="D90" s="62"/>
      <c r="E90" s="17"/>
      <c r="F90" s="17"/>
      <c r="H90" s="21"/>
      <c r="K90" s="128" t="s">
        <v>101</v>
      </c>
      <c r="L90" s="128" t="s">
        <v>651</v>
      </c>
      <c r="M90" s="132">
        <v>89</v>
      </c>
    </row>
    <row r="91" spans="2:13" x14ac:dyDescent="0.25">
      <c r="B91" s="2"/>
      <c r="C91" s="33"/>
      <c r="D91" s="62"/>
      <c r="E91" s="17"/>
      <c r="F91" s="17"/>
      <c r="H91" s="21"/>
      <c r="K91" s="128" t="s">
        <v>101</v>
      </c>
      <c r="L91" s="128" t="s">
        <v>662</v>
      </c>
      <c r="M91" s="132">
        <v>90</v>
      </c>
    </row>
    <row r="92" spans="2:13" x14ac:dyDescent="0.25">
      <c r="B92" s="2"/>
      <c r="C92" s="33"/>
      <c r="D92" s="62"/>
      <c r="E92" s="17"/>
      <c r="F92" s="17"/>
      <c r="H92" s="21"/>
      <c r="K92" s="128" t="s">
        <v>101</v>
      </c>
      <c r="L92" s="128" t="s">
        <v>663</v>
      </c>
      <c r="M92" s="132">
        <v>91</v>
      </c>
    </row>
    <row r="93" spans="2:13" x14ac:dyDescent="0.25">
      <c r="B93" s="2"/>
      <c r="C93" s="33"/>
      <c r="D93" s="62"/>
      <c r="E93" s="17"/>
      <c r="F93" s="17"/>
      <c r="H93" s="21"/>
      <c r="K93" s="128" t="s">
        <v>101</v>
      </c>
      <c r="L93" s="128" t="s">
        <v>664</v>
      </c>
      <c r="M93" s="132">
        <v>92</v>
      </c>
    </row>
    <row r="94" spans="2:13" x14ac:dyDescent="0.25">
      <c r="B94" s="2"/>
      <c r="C94" s="33"/>
      <c r="D94" s="62"/>
      <c r="E94" s="17"/>
      <c r="F94" s="17"/>
      <c r="H94" s="21"/>
      <c r="K94" s="128" t="s">
        <v>101</v>
      </c>
      <c r="L94" s="128" t="s">
        <v>665</v>
      </c>
      <c r="M94" s="132">
        <v>93</v>
      </c>
    </row>
    <row r="95" spans="2:13" x14ac:dyDescent="0.25">
      <c r="B95" s="2"/>
      <c r="C95" s="33"/>
      <c r="D95" s="62"/>
      <c r="E95" s="17"/>
      <c r="F95" s="17"/>
      <c r="H95" s="21"/>
      <c r="K95" s="128" t="s">
        <v>101</v>
      </c>
      <c r="L95" s="128" t="s">
        <v>666</v>
      </c>
      <c r="M95" s="132">
        <v>94</v>
      </c>
    </row>
    <row r="96" spans="2:13" x14ac:dyDescent="0.25">
      <c r="B96" s="2"/>
      <c r="C96" s="33"/>
      <c r="D96" s="62"/>
      <c r="E96" s="17"/>
      <c r="F96" s="17"/>
      <c r="H96" s="21"/>
      <c r="K96" s="128" t="s">
        <v>101</v>
      </c>
      <c r="L96" s="128" t="s">
        <v>667</v>
      </c>
      <c r="M96" s="132">
        <v>95</v>
      </c>
    </row>
    <row r="97" spans="2:13" x14ac:dyDescent="0.25">
      <c r="B97" s="2"/>
      <c r="C97" s="33"/>
      <c r="D97" s="62"/>
      <c r="E97" s="17"/>
      <c r="F97" s="17"/>
      <c r="H97" s="21"/>
      <c r="K97" s="128" t="s">
        <v>96</v>
      </c>
      <c r="L97" s="128" t="s">
        <v>668</v>
      </c>
      <c r="M97" s="132">
        <v>96</v>
      </c>
    </row>
    <row r="98" spans="2:13" x14ac:dyDescent="0.25">
      <c r="B98" s="2"/>
      <c r="C98" s="33"/>
      <c r="D98" s="62"/>
      <c r="E98" s="17"/>
      <c r="F98" s="17"/>
      <c r="H98" s="21"/>
      <c r="K98" s="128" t="s">
        <v>96</v>
      </c>
      <c r="L98" s="128" t="s">
        <v>669</v>
      </c>
      <c r="M98" s="132">
        <v>97</v>
      </c>
    </row>
    <row r="99" spans="2:13" x14ac:dyDescent="0.25">
      <c r="K99" s="128" t="s">
        <v>96</v>
      </c>
      <c r="L99" s="128" t="s">
        <v>652</v>
      </c>
      <c r="M99" s="132">
        <v>98</v>
      </c>
    </row>
    <row r="100" spans="2:13" x14ac:dyDescent="0.25">
      <c r="K100" s="128" t="s">
        <v>96</v>
      </c>
      <c r="L100" s="128" t="s">
        <v>653</v>
      </c>
      <c r="M100" s="132">
        <v>99</v>
      </c>
    </row>
    <row r="101" spans="2:13" x14ac:dyDescent="0.25">
      <c r="K101" s="128" t="s">
        <v>96</v>
      </c>
      <c r="L101" s="128" t="s">
        <v>654</v>
      </c>
      <c r="M101" s="132">
        <v>100</v>
      </c>
    </row>
    <row r="102" spans="2:13" x14ac:dyDescent="0.25">
      <c r="K102" s="128" t="s">
        <v>96</v>
      </c>
      <c r="L102" s="128" t="s">
        <v>655</v>
      </c>
      <c r="M102" s="132">
        <v>101</v>
      </c>
    </row>
    <row r="103" spans="2:13" x14ac:dyDescent="0.25">
      <c r="K103" s="128" t="s">
        <v>88</v>
      </c>
      <c r="L103" s="128" t="s">
        <v>656</v>
      </c>
      <c r="M103" s="132">
        <v>102</v>
      </c>
    </row>
    <row r="104" spans="2:13" x14ac:dyDescent="0.25">
      <c r="K104" s="128" t="s">
        <v>88</v>
      </c>
      <c r="L104" s="128" t="s">
        <v>657</v>
      </c>
      <c r="M104" s="132">
        <v>103</v>
      </c>
    </row>
    <row r="105" spans="2:13" x14ac:dyDescent="0.25">
      <c r="K105" s="128" t="s">
        <v>88</v>
      </c>
      <c r="L105" s="128" t="s">
        <v>658</v>
      </c>
      <c r="M105" s="132">
        <v>104</v>
      </c>
    </row>
    <row r="106" spans="2:13" x14ac:dyDescent="0.25">
      <c r="K106" s="128" t="s">
        <v>88</v>
      </c>
      <c r="L106" s="128" t="s">
        <v>659</v>
      </c>
      <c r="M106" s="132">
        <v>105</v>
      </c>
    </row>
    <row r="107" spans="2:13" x14ac:dyDescent="0.25">
      <c r="K107" s="128" t="s">
        <v>88</v>
      </c>
      <c r="L107" s="128" t="s">
        <v>660</v>
      </c>
      <c r="M107" s="132">
        <v>106</v>
      </c>
    </row>
    <row r="108" spans="2:13" x14ac:dyDescent="0.25">
      <c r="K108" s="128" t="s">
        <v>88</v>
      </c>
      <c r="L108" s="128" t="s">
        <v>661</v>
      </c>
      <c r="M108" s="132">
        <v>107</v>
      </c>
    </row>
    <row r="109" spans="2:13" x14ac:dyDescent="0.25">
      <c r="K109" s="128"/>
      <c r="L109" s="128"/>
      <c r="M109" s="132"/>
    </row>
    <row r="110" spans="2:13" x14ac:dyDescent="0.25">
      <c r="K110" s="128"/>
      <c r="L110" s="128"/>
      <c r="M110" s="132"/>
    </row>
    <row r="111" spans="2:13" x14ac:dyDescent="0.25">
      <c r="M111" s="128"/>
    </row>
    <row r="112" spans="2:13" x14ac:dyDescent="0.25">
      <c r="M112" s="128"/>
    </row>
    <row r="113" spans="13:13" x14ac:dyDescent="0.25">
      <c r="M113" s="128"/>
    </row>
    <row r="114" spans="13:13" x14ac:dyDescent="0.25">
      <c r="M114" s="128"/>
    </row>
    <row r="115" spans="13:13" x14ac:dyDescent="0.25">
      <c r="M115" s="128"/>
    </row>
    <row r="116" spans="13:13" x14ac:dyDescent="0.25">
      <c r="M116" s="128"/>
    </row>
    <row r="117" spans="13:13" x14ac:dyDescent="0.25">
      <c r="M117" s="128"/>
    </row>
    <row r="118" spans="13:13" x14ac:dyDescent="0.25">
      <c r="M118" s="128"/>
    </row>
    <row r="119" spans="13:13" x14ac:dyDescent="0.25">
      <c r="M119" s="128"/>
    </row>
    <row r="120" spans="13:13" x14ac:dyDescent="0.25">
      <c r="M120" s="128"/>
    </row>
    <row r="121" spans="13:13" x14ac:dyDescent="0.25">
      <c r="M121" s="128"/>
    </row>
    <row r="122" spans="13:13" x14ac:dyDescent="0.25">
      <c r="M122" s="128"/>
    </row>
    <row r="123" spans="13:13" x14ac:dyDescent="0.25">
      <c r="M123" s="128"/>
    </row>
    <row r="124" spans="13:13" x14ac:dyDescent="0.25">
      <c r="M124" s="128"/>
    </row>
    <row r="125" spans="13:13" x14ac:dyDescent="0.25">
      <c r="M125" s="128"/>
    </row>
    <row r="126" spans="13:13" x14ac:dyDescent="0.25">
      <c r="M126" s="128"/>
    </row>
    <row r="127" spans="13:13" x14ac:dyDescent="0.25">
      <c r="M127" s="128"/>
    </row>
    <row r="128" spans="13:13" x14ac:dyDescent="0.25">
      <c r="M128" s="128"/>
    </row>
    <row r="129" spans="13:13" x14ac:dyDescent="0.25">
      <c r="M129" s="128"/>
    </row>
    <row r="130" spans="13:13" x14ac:dyDescent="0.25">
      <c r="M130" s="128"/>
    </row>
    <row r="131" spans="13:13" x14ac:dyDescent="0.25">
      <c r="M131" s="128"/>
    </row>
    <row r="132" spans="13:13" x14ac:dyDescent="0.25">
      <c r="M132" s="128"/>
    </row>
    <row r="133" spans="13:13" x14ac:dyDescent="0.25">
      <c r="M133" s="128"/>
    </row>
    <row r="134" spans="13:13" x14ac:dyDescent="0.25">
      <c r="M134" s="128"/>
    </row>
    <row r="135" spans="13:13" x14ac:dyDescent="0.25">
      <c r="M135" s="128"/>
    </row>
  </sheetData>
  <sheetProtection algorithmName="SHA-512" hashValue="4H6/0ERzXnXsH2zKUz/lB4SL/LVa9D68firSX4l0Z8tRl1VvCKLpezAlDDYdjhHh4WcVM1ODJ7jNClpl3DBpXw==" saltValue="FiZ1sRdMr5QzEJZ2FrsxNA==" spinCount="100000" sheet="1" objects="1" scenarios="1"/>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1"/>
  </sheetPr>
  <dimension ref="A2:S18"/>
  <sheetViews>
    <sheetView workbookViewId="0">
      <selection activeCell="J9" sqref="J9"/>
    </sheetView>
  </sheetViews>
  <sheetFormatPr defaultRowHeight="15" x14ac:dyDescent="0.25"/>
  <cols>
    <col min="1" max="1" width="8.42578125" bestFit="1" customWidth="1"/>
    <col min="2" max="2" width="32.140625" bestFit="1" customWidth="1"/>
    <col min="3" max="3" width="15" bestFit="1" customWidth="1"/>
    <col min="4" max="4" width="32.140625" bestFit="1" customWidth="1"/>
    <col min="5" max="5" width="9" bestFit="1" customWidth="1"/>
    <col min="6" max="6" width="32.140625" bestFit="1" customWidth="1"/>
    <col min="7" max="7" width="30.5703125" bestFit="1" customWidth="1"/>
    <col min="8" max="8" width="12.140625" bestFit="1" customWidth="1"/>
    <col min="9" max="9" width="7.28515625" bestFit="1" customWidth="1"/>
    <col min="10" max="10" width="8" bestFit="1" customWidth="1"/>
    <col min="11" max="11" width="7.7109375" bestFit="1" customWidth="1"/>
    <col min="12" max="12" width="9.85546875" bestFit="1" customWidth="1"/>
    <col min="13" max="14" width="5.28515625" bestFit="1" customWidth="1"/>
    <col min="15" max="15" width="32.140625" bestFit="1" customWidth="1"/>
    <col min="16" max="17" width="5.28515625" bestFit="1" customWidth="1"/>
    <col min="18" max="18" width="30.5703125" bestFit="1" customWidth="1"/>
    <col min="19" max="19" width="10" bestFit="1" customWidth="1"/>
  </cols>
  <sheetData>
    <row r="2" spans="1:19" x14ac:dyDescent="0.25">
      <c r="A2" s="73" t="s">
        <v>308</v>
      </c>
      <c r="B2" s="73" t="s">
        <v>168</v>
      </c>
      <c r="C2" s="73" t="s">
        <v>55</v>
      </c>
      <c r="D2" s="73" t="s">
        <v>171</v>
      </c>
      <c r="E2" s="73" t="s">
        <v>172</v>
      </c>
      <c r="F2" s="73" t="s">
        <v>9</v>
      </c>
      <c r="G2" s="73" t="s">
        <v>173</v>
      </c>
      <c r="H2" s="73" t="s">
        <v>293</v>
      </c>
      <c r="I2" s="73" t="s">
        <v>389</v>
      </c>
      <c r="J2" s="73" t="s">
        <v>678</v>
      </c>
      <c r="K2" s="73" t="s">
        <v>679</v>
      </c>
      <c r="L2" s="73" t="s">
        <v>382</v>
      </c>
      <c r="M2" s="73" t="s">
        <v>313</v>
      </c>
      <c r="N2" s="73" t="s">
        <v>314</v>
      </c>
      <c r="O2" s="73" t="s">
        <v>315</v>
      </c>
      <c r="P2" s="73" t="s">
        <v>316</v>
      </c>
      <c r="Q2" s="73" t="s">
        <v>317</v>
      </c>
      <c r="R2" s="73" t="s">
        <v>318</v>
      </c>
      <c r="S2" s="73" t="s">
        <v>532</v>
      </c>
    </row>
    <row r="3" spans="1:19" x14ac:dyDescent="0.25">
      <c r="A3">
        <v>1</v>
      </c>
      <c r="D3" s="17" t="str">
        <f>Status[[#This Row],[Status]] &amp; ""</f>
        <v/>
      </c>
      <c r="E3">
        <v>2</v>
      </c>
      <c r="F3" s="17" t="str">
        <f>IF(LEFT(Status[[#This Row],[Which]], 1) = "1", Status[[#This Row],[Key]], "")</f>
        <v/>
      </c>
      <c r="G3" s="17" t="str">
        <f>IF(RIGHT(Status[[#This Row],[Which]], 1) = "2", Status[[#This Row],[Key]], "")</f>
        <v/>
      </c>
      <c r="H3" s="74" t="s">
        <v>302</v>
      </c>
      <c r="I3" s="17"/>
      <c r="J3" s="17" t="s">
        <v>681</v>
      </c>
      <c r="K3" s="17" t="s">
        <v>681</v>
      </c>
      <c r="L3" s="17" t="s">
        <v>381</v>
      </c>
      <c r="M3" s="17">
        <f>--ISNUMBER(IFERROR(SEARCH("*", Status[[#This Row],[Sponsor]], 1), ""))</f>
        <v>0</v>
      </c>
      <c r="N3" s="17" t="str">
        <f>IF(Status[[#This Row],[S1]] = 1, COUNTIF($M$3:M3, 1), "")</f>
        <v/>
      </c>
      <c r="O3" s="17" t="str">
        <f>IFERROR(INDEX(Status[Sponsor], MATCH(ROWS($N$3:N3) - 1, Status[S2], 0)), "")</f>
        <v/>
      </c>
      <c r="P3" s="17">
        <f>--ISNUMBER(IFERROR(SEARCH("*", Status[[#This Row],[Spouse]], 1), ""))</f>
        <v>0</v>
      </c>
      <c r="Q3" s="17" t="str">
        <f>IF(Status[[#This Row],[T1]] = 1, COUNTIF($P$3:P3, 1), "")</f>
        <v/>
      </c>
      <c r="R3" s="17" t="str">
        <f>IFERROR(INDEX(Status[Spouse], MATCH(ROWS($Q$3:Q3) - 1, Status[T2], 0)), "")</f>
        <v/>
      </c>
      <c r="S3" s="17"/>
    </row>
    <row r="4" spans="1:19" x14ac:dyDescent="0.25">
      <c r="A4">
        <v>2</v>
      </c>
      <c r="B4" t="s">
        <v>388</v>
      </c>
      <c r="D4" s="17" t="str">
        <f>Status[[#This Row],[Status]] &amp; ""</f>
        <v>No Spouse/Partner</v>
      </c>
      <c r="E4">
        <v>2</v>
      </c>
      <c r="F4" s="17" t="str">
        <f>IF(LEFT(Status[[#This Row],[Which]], 1) = "1", Status[[#This Row],[Key]], "")</f>
        <v/>
      </c>
      <c r="G4" s="17" t="str">
        <f>IF(RIGHT(Status[[#This Row],[Which]], 1) = "2", Status[[#This Row],[Key]], "")</f>
        <v>No Spouse/Partner</v>
      </c>
      <c r="H4" s="63" t="s">
        <v>303</v>
      </c>
      <c r="I4" s="17"/>
      <c r="J4" s="17" t="s">
        <v>681</v>
      </c>
      <c r="K4" s="17" t="s">
        <v>681</v>
      </c>
      <c r="L4" s="17" t="s">
        <v>381</v>
      </c>
      <c r="M4" s="17">
        <f>--ISNUMBER(IFERROR(SEARCH("*", Status[[#This Row],[Sponsor]], 1), ""))</f>
        <v>0</v>
      </c>
      <c r="N4" s="17" t="str">
        <f>IF(Status[[#This Row],[S1]] = 1, COUNTIF($M$3:M4, 1), "")</f>
        <v/>
      </c>
      <c r="O4" s="17" t="str">
        <f>IFERROR(INDEX(Status[Sponsor], MATCH(ROWS($N$3:N4) - 1, Status[S2], 0)), "")</f>
        <v>CYS</v>
      </c>
      <c r="P4" s="17">
        <f>--ISNUMBER(IFERROR(SEARCH("*", Status[[#This Row],[Spouse]], 1), ""))</f>
        <v>1</v>
      </c>
      <c r="Q4" s="17">
        <f>IF(Status[[#This Row],[T1]] = 1, COUNTIF($P$3:P4, 1), "")</f>
        <v>1</v>
      </c>
      <c r="R4" s="17" t="str">
        <f>IFERROR(INDEX(Status[Spouse], MATCH(ROWS($Q$3:Q4) - 1, Status[T2], 0)), "")</f>
        <v>No Spouse/Partner</v>
      </c>
      <c r="S4" s="17"/>
    </row>
    <row r="5" spans="1:19" x14ac:dyDescent="0.25">
      <c r="A5">
        <v>3</v>
      </c>
      <c r="B5" t="s">
        <v>186</v>
      </c>
      <c r="C5" t="s">
        <v>111</v>
      </c>
      <c r="D5" s="17" t="str">
        <f>Status[[#This Row],[Status]] &amp; ""</f>
        <v>CYS</v>
      </c>
      <c r="E5">
        <v>12</v>
      </c>
      <c r="F5" s="17" t="str">
        <f>IF(LEFT(Status[[#This Row],[Which]], 1) = "1", Status[[#This Row],[Key]], "")</f>
        <v>CYS</v>
      </c>
      <c r="G5" s="17" t="str">
        <f>IF(RIGHT(Status[[#This Row],[Which]], 1) = "2", Status[[#This Row],[Key]], "")</f>
        <v>CYS</v>
      </c>
      <c r="H5" s="17" t="s">
        <v>186</v>
      </c>
      <c r="I5" s="17"/>
      <c r="J5" s="17" t="s">
        <v>682</v>
      </c>
      <c r="K5" s="17" t="s">
        <v>681</v>
      </c>
      <c r="L5" s="17" t="s">
        <v>383</v>
      </c>
      <c r="M5" s="17">
        <f>--ISNUMBER(IFERROR(SEARCH("*", Status[[#This Row],[Sponsor]], 1), ""))</f>
        <v>1</v>
      </c>
      <c r="N5" s="17">
        <f>IF(Status[[#This Row],[S1]] = 1, COUNTIF($M$3:M5, 1), "")</f>
        <v>1</v>
      </c>
      <c r="O5" s="17" t="str">
        <f>IFERROR(INDEX(Status[Sponsor], MATCH(ROWS($N$3:N5) - 1, Status[S2], 0)), "")</f>
        <v>Wounded Warrior--GC-approved</v>
      </c>
      <c r="P5" s="17">
        <f>--ISNUMBER(IFERROR(SEARCH("*", Status[[#This Row],[Spouse]], 1), ""))</f>
        <v>1</v>
      </c>
      <c r="Q5" s="17">
        <f>IF(Status[[#This Row],[T1]] = 1, COUNTIF($P$3:P5, 1), "")</f>
        <v>2</v>
      </c>
      <c r="R5" s="17" t="str">
        <f>IFERROR(INDEX(Status[Spouse], MATCH(ROWS($Q$3:Q5) - 1, Status[T2], 0)), "")</f>
        <v>CYS</v>
      </c>
      <c r="S5" s="17"/>
    </row>
    <row r="6" spans="1:19" x14ac:dyDescent="0.25">
      <c r="A6">
        <v>4</v>
      </c>
      <c r="B6" t="s">
        <v>339</v>
      </c>
      <c r="C6" t="s">
        <v>111</v>
      </c>
      <c r="D6" s="17" t="str">
        <f>Status[[#This Row],[Status]] &amp; ""</f>
        <v>Wounded Warrior--GC-approved</v>
      </c>
      <c r="E6">
        <v>12</v>
      </c>
      <c r="F6" s="17" t="str">
        <f>IF(LEFT(Status[[#This Row],[Which]], 1) = "1", Status[[#This Row],[Key]], "")</f>
        <v>Wounded Warrior--GC-approved</v>
      </c>
      <c r="G6" s="17" t="str">
        <f>IF(RIGHT(Status[[#This Row],[Which]], 1) = "2", Status[[#This Row],[Key]], "")</f>
        <v>Wounded Warrior--GC-approved</v>
      </c>
      <c r="H6" s="17" t="s">
        <v>299</v>
      </c>
      <c r="I6" s="17" t="s">
        <v>379</v>
      </c>
      <c r="J6" s="17" t="s">
        <v>680</v>
      </c>
      <c r="K6" s="17" t="s">
        <v>680</v>
      </c>
      <c r="L6" s="17" t="s">
        <v>383</v>
      </c>
      <c r="M6" s="17">
        <f>--ISNUMBER(IFERROR(SEARCH("*", Status[[#This Row],[Sponsor]], 1), ""))</f>
        <v>1</v>
      </c>
      <c r="N6" s="17">
        <f>IF(Status[[#This Row],[S1]] = 1, COUNTIF($M$3:M6, 1), "")</f>
        <v>2</v>
      </c>
      <c r="O6" s="17" t="str">
        <f>IFERROR(INDEX(Status[Sponsor], MATCH(ROWS($N$3:N6) - 1, Status[S2], 0)), "")</f>
        <v>Active Duty</v>
      </c>
      <c r="P6" s="17">
        <f>--ISNUMBER(IFERROR(SEARCH("*", Status[[#This Row],[Spouse]], 1), ""))</f>
        <v>1</v>
      </c>
      <c r="Q6" s="17">
        <f>IF(Status[[#This Row],[T1]] = 1, COUNTIF($P$3:P6, 1), "")</f>
        <v>3</v>
      </c>
      <c r="R6" s="17" t="str">
        <f>IFERROR(INDEX(Status[Spouse], MATCH(ROWS($Q$3:Q6) - 1, Status[T2], 0)), "")</f>
        <v>Wounded Warrior--GC-approved</v>
      </c>
      <c r="S6" s="17"/>
    </row>
    <row r="7" spans="1:19" x14ac:dyDescent="0.25">
      <c r="A7">
        <v>5</v>
      </c>
      <c r="B7" t="s">
        <v>216</v>
      </c>
      <c r="C7" t="s">
        <v>111</v>
      </c>
      <c r="D7" s="17" t="str">
        <f>Status[[#This Row],[Status]] &amp; ""</f>
        <v>Active Duty</v>
      </c>
      <c r="E7">
        <v>12</v>
      </c>
      <c r="F7" s="17" t="str">
        <f>IF(LEFT(Status[[#This Row],[Which]], 1) = "1", Status[[#This Row],[Key]], "")</f>
        <v>Active Duty</v>
      </c>
      <c r="G7" s="17" t="str">
        <f>IF(RIGHT(Status[[#This Row],[Which]], 1) = "2", Status[[#This Row],[Key]], "")</f>
        <v>Active Duty</v>
      </c>
      <c r="H7" s="17" t="s">
        <v>296</v>
      </c>
      <c r="I7" s="17" t="s">
        <v>379</v>
      </c>
      <c r="J7" s="17" t="s">
        <v>680</v>
      </c>
      <c r="K7" s="17" t="s">
        <v>680</v>
      </c>
      <c r="L7" s="17" t="s">
        <v>383</v>
      </c>
      <c r="M7" s="17">
        <f>--ISNUMBER(IFERROR(SEARCH("*", Status[[#This Row],[Sponsor]], 1), ""))</f>
        <v>1</v>
      </c>
      <c r="N7" s="17">
        <f>IF(Status[[#This Row],[S1]] = 1, COUNTIF($M$3:M7, 1), "")</f>
        <v>3</v>
      </c>
      <c r="O7" s="17" t="str">
        <f>IFERROR(INDEX(Status[Sponsor], MATCH(ROWS($N$3:N7) - 1, Status[S2], 0)), "")</f>
        <v>Full-time Nat'l Guard</v>
      </c>
      <c r="P7" s="17">
        <f>--ISNUMBER(IFERROR(SEARCH("*", Status[[#This Row],[Spouse]], 1), ""))</f>
        <v>1</v>
      </c>
      <c r="Q7" s="17">
        <f>IF(Status[[#This Row],[T1]] = 1, COUNTIF($P$3:P7, 1), "")</f>
        <v>4</v>
      </c>
      <c r="R7" s="17" t="str">
        <f>IFERROR(INDEX(Status[Spouse], MATCH(ROWS($Q$3:Q7) - 1, Status[T2], 0)), "")</f>
        <v>Active Duty</v>
      </c>
      <c r="S7" s="17"/>
    </row>
    <row r="8" spans="1:19" x14ac:dyDescent="0.25">
      <c r="A8">
        <v>6</v>
      </c>
      <c r="B8" t="s">
        <v>390</v>
      </c>
      <c r="C8" t="s">
        <v>111</v>
      </c>
      <c r="D8" s="17" t="str">
        <f>Status[[#This Row],[Status]] &amp; ""</f>
        <v>Full-time Nat'l Guard</v>
      </c>
      <c r="E8">
        <v>12</v>
      </c>
      <c r="F8" s="17" t="str">
        <f>IF(LEFT(Status[[#This Row],[Which]], 1) = "1", Status[[#This Row],[Key]], "")</f>
        <v>Full-time Nat'l Guard</v>
      </c>
      <c r="G8" s="17" t="str">
        <f>IF(RIGHT(Status[[#This Row],[Which]], 1) = "2", Status[[#This Row],[Key]], "")</f>
        <v>Full-time Nat'l Guard</v>
      </c>
      <c r="H8" s="17" t="s">
        <v>301</v>
      </c>
      <c r="I8" s="17" t="s">
        <v>379</v>
      </c>
      <c r="J8" s="17" t="s">
        <v>680</v>
      </c>
      <c r="K8" s="17" t="s">
        <v>680</v>
      </c>
      <c r="L8" s="17" t="s">
        <v>383</v>
      </c>
      <c r="M8" s="17">
        <f>--ISNUMBER(IFERROR(SEARCH("*", Status[[#This Row],[Sponsor]], 1), ""))</f>
        <v>1</v>
      </c>
      <c r="N8" s="17">
        <f>IF(Status[[#This Row],[S1]] = 1, COUNTIF($M$3:M8, 1), "")</f>
        <v>4</v>
      </c>
      <c r="O8" s="17" t="str">
        <f>IFERROR(INDEX(Status[Sponsor], MATCH(ROWS($N$3:N8) - 1, Status[S2], 0)), "")</f>
        <v>Full-time Reserve</v>
      </c>
      <c r="P8" s="17">
        <f>--ISNUMBER(IFERROR(SEARCH("*", Status[[#This Row],[Spouse]], 1), ""))</f>
        <v>1</v>
      </c>
      <c r="Q8" s="17">
        <f>IF(Status[[#This Row],[T1]] = 1, COUNTIF($P$3:P8, 1), "")</f>
        <v>5</v>
      </c>
      <c r="R8" s="17" t="str">
        <f>IFERROR(INDEX(Status[Spouse], MATCH(ROWS($Q$3:Q8) - 1, Status[T2], 0)), "")</f>
        <v>Full-time Nat'l Guard</v>
      </c>
      <c r="S8" s="17"/>
    </row>
    <row r="9" spans="1:19" x14ac:dyDescent="0.25">
      <c r="A9">
        <v>6</v>
      </c>
      <c r="B9" t="s">
        <v>218</v>
      </c>
      <c r="C9" t="s">
        <v>111</v>
      </c>
      <c r="D9" s="17" t="str">
        <f>Status[[#This Row],[Status]] &amp; ""</f>
        <v>Full-time Reserve</v>
      </c>
      <c r="E9">
        <v>12</v>
      </c>
      <c r="F9" s="17" t="str">
        <f>IF(LEFT(Status[[#This Row],[Which]], 1) = "1", Status[[#This Row],[Key]], "")</f>
        <v>Full-time Reserve</v>
      </c>
      <c r="G9" s="17" t="str">
        <f>IF(RIGHT(Status[[#This Row],[Which]], 1) = "2", Status[[#This Row],[Key]], "")</f>
        <v>Full-time Reserve</v>
      </c>
      <c r="H9" s="17" t="s">
        <v>301</v>
      </c>
      <c r="I9" s="17" t="s">
        <v>379</v>
      </c>
      <c r="J9" s="17" t="s">
        <v>680</v>
      </c>
      <c r="K9" s="17" t="s">
        <v>680</v>
      </c>
      <c r="L9" s="17" t="s">
        <v>383</v>
      </c>
      <c r="M9" s="17">
        <f>--ISNUMBER(IFERROR(SEARCH("*", Status[[#This Row],[Sponsor]], 1), ""))</f>
        <v>1</v>
      </c>
      <c r="N9" s="17">
        <f>IF(Status[[#This Row],[S1]] = 1, COUNTIF($M$3:M9, 1), "")</f>
        <v>5</v>
      </c>
      <c r="O9" s="17" t="str">
        <f>IFERROR(INDEX(Status[Sponsor], MATCH(ROWS($N$3:N9) - 1, Status[S2], 0)), "")</f>
        <v>DoD Civilian</v>
      </c>
      <c r="P9" s="17">
        <f>--ISNUMBER(IFERROR(SEARCH("*", Status[[#This Row],[Spouse]], 1), ""))</f>
        <v>1</v>
      </c>
      <c r="Q9" s="17">
        <f>IF(Status[[#This Row],[T1]] = 1, COUNTIF($P$3:P9, 1), "")</f>
        <v>6</v>
      </c>
      <c r="R9" s="17" t="str">
        <f>IFERROR(INDEX(Status[Spouse], MATCH(ROWS($Q$3:Q9) - 1, Status[T2], 0)), "")</f>
        <v>Full-time Reserve</v>
      </c>
      <c r="S9" s="17"/>
    </row>
    <row r="10" spans="1:19" x14ac:dyDescent="0.25">
      <c r="A10">
        <v>7</v>
      </c>
      <c r="B10" t="s">
        <v>20</v>
      </c>
      <c r="C10" t="s">
        <v>111</v>
      </c>
      <c r="D10" s="17" t="str">
        <f>Status[[#This Row],[Status]] &amp; ""</f>
        <v>DoD Civilian</v>
      </c>
      <c r="E10">
        <v>12</v>
      </c>
      <c r="F10" s="17" t="str">
        <f>IF(LEFT(Status[[#This Row],[Which]], 1) = "1", Status[[#This Row],[Key]], "")</f>
        <v>DoD Civilian</v>
      </c>
      <c r="G10" s="17" t="str">
        <f>IF(RIGHT(Status[[#This Row],[Which]], 1) = "2", Status[[#This Row],[Key]], "")</f>
        <v>DoD Civilian</v>
      </c>
      <c r="H10" s="17" t="s">
        <v>298</v>
      </c>
      <c r="I10" s="17"/>
      <c r="J10" s="17" t="s">
        <v>682</v>
      </c>
      <c r="K10" s="17" t="s">
        <v>681</v>
      </c>
      <c r="L10" s="17" t="s">
        <v>383</v>
      </c>
      <c r="M10" s="17">
        <f>--ISNUMBER(IFERROR(SEARCH("*", Status[[#This Row],[Sponsor]], 1), ""))</f>
        <v>1</v>
      </c>
      <c r="N10" s="17">
        <f>IF(Status[[#This Row],[S1]] = 1, COUNTIF($M$3:M10, 1), "")</f>
        <v>6</v>
      </c>
      <c r="O10" s="17" t="str">
        <f>IFERROR(INDEX(Status[Sponsor], MATCH(ROWS($N$3:N10) - 1, Status[S2], 0)), "")</f>
        <v>Gold Star Spouse</v>
      </c>
      <c r="P10" s="17">
        <f>--ISNUMBER(IFERROR(SEARCH("*", Status[[#This Row],[Spouse]], 1), ""))</f>
        <v>1</v>
      </c>
      <c r="Q10" s="17">
        <f>IF(Status[[#This Row],[T1]] = 1, COUNTIF($P$3:P10, 1), "")</f>
        <v>7</v>
      </c>
      <c r="R10" s="17" t="str">
        <f>IFERROR(INDEX(Status[Spouse], MATCH(ROWS($Q$3:Q10) - 1, Status[T2], 0)), "")</f>
        <v>DoD Civilian</v>
      </c>
      <c r="S10" s="17"/>
    </row>
    <row r="11" spans="1:19" x14ac:dyDescent="0.25">
      <c r="A11">
        <v>8</v>
      </c>
      <c r="B11" t="s">
        <v>220</v>
      </c>
      <c r="C11" t="s">
        <v>111</v>
      </c>
      <c r="D11" s="17" t="str">
        <f>Status[[#This Row],[Status]] &amp; ""</f>
        <v>Gold Star Spouse</v>
      </c>
      <c r="E11">
        <v>1</v>
      </c>
      <c r="F11" s="17" t="str">
        <f>IF(LEFT(Status[[#This Row],[Which]], 1) = "1", Status[[#This Row],[Key]], "")</f>
        <v>Gold Star Spouse</v>
      </c>
      <c r="G11" s="17" t="str">
        <f>IF(RIGHT(Status[[#This Row],[Which]], 1) = "2", Status[[#This Row],[Key]], "")</f>
        <v/>
      </c>
      <c r="H11" s="17" t="s">
        <v>300</v>
      </c>
      <c r="I11" s="17"/>
      <c r="J11" s="17" t="s">
        <v>681</v>
      </c>
      <c r="K11" s="17" t="s">
        <v>681</v>
      </c>
      <c r="L11" s="17"/>
      <c r="M11" s="17">
        <f>--ISNUMBER(IFERROR(SEARCH("*", Status[[#This Row],[Sponsor]], 1), ""))</f>
        <v>1</v>
      </c>
      <c r="N11" s="17">
        <f>IF(Status[[#This Row],[S1]] = 1, COUNTIF($M$3:M11, 1), "")</f>
        <v>7</v>
      </c>
      <c r="O11" s="17" t="str">
        <f>IFERROR(INDEX(Status[Sponsor], MATCH(ROWS($N$3:N11) - 1, Status[S2], 0)), "")</f>
        <v>Eligible Contractor</v>
      </c>
      <c r="P11" s="17">
        <f>--ISNUMBER(IFERROR(SEARCH("*", Status[[#This Row],[Spouse]], 1), ""))</f>
        <v>0</v>
      </c>
      <c r="Q11" s="17" t="str">
        <f>IF(Status[[#This Row],[T1]] = 1, COUNTIF($P$3:P11, 1), "")</f>
        <v/>
      </c>
      <c r="R11" s="17" t="str">
        <f>IFERROR(INDEX(Status[Spouse], MATCH(ROWS($Q$3:Q11) - 1, Status[T2], 0)), "")</f>
        <v>Eligible Contractor</v>
      </c>
      <c r="S11" s="17"/>
    </row>
    <row r="12" spans="1:19" x14ac:dyDescent="0.25">
      <c r="A12">
        <v>9</v>
      </c>
      <c r="B12" t="s">
        <v>219</v>
      </c>
      <c r="C12" t="s">
        <v>164</v>
      </c>
      <c r="D12" s="17" t="str">
        <f>Status[[#This Row],[Status]] &amp; ""</f>
        <v>Eligible Contractor</v>
      </c>
      <c r="E12">
        <v>12</v>
      </c>
      <c r="F12" s="17" t="str">
        <f>IF(LEFT(Status[[#This Row],[Which]], 1) = "1", Status[[#This Row],[Key]], "")</f>
        <v>Eligible Contractor</v>
      </c>
      <c r="G12" s="17" t="str">
        <f>IF(RIGHT(Status[[#This Row],[Which]], 1) = "2", Status[[#This Row],[Key]], "")</f>
        <v>Eligible Contractor</v>
      </c>
      <c r="H12" s="17" t="s">
        <v>297</v>
      </c>
      <c r="I12" s="17"/>
      <c r="J12" s="17" t="s">
        <v>681</v>
      </c>
      <c r="K12" s="17" t="s">
        <v>681</v>
      </c>
      <c r="L12" s="17" t="s">
        <v>383</v>
      </c>
      <c r="M12" s="17">
        <f>--ISNUMBER(IFERROR(SEARCH("*", Status[[#This Row],[Sponsor]], 1), ""))</f>
        <v>1</v>
      </c>
      <c r="N12" s="17">
        <f>IF(Status[[#This Row],[S1]] = 1, COUNTIF($M$3:M12, 1), "")</f>
        <v>8</v>
      </c>
      <c r="O12" s="17" t="str">
        <f>IFERROR(INDEX(Status[Sponsor], MATCH(ROWS($N$3:N12) - 1, Status[S2], 0)), "")</f>
        <v>Federal Civilian (USPS, VA, etc.)</v>
      </c>
      <c r="P12" s="17">
        <f>--ISNUMBER(IFERROR(SEARCH("*", Status[[#This Row],[Spouse]], 1), ""))</f>
        <v>1</v>
      </c>
      <c r="Q12" s="17">
        <f>IF(Status[[#This Row],[T1]] = 1, COUNTIF($P$3:P12, 1), "")</f>
        <v>8</v>
      </c>
      <c r="R12" s="17" t="str">
        <f>IFERROR(INDEX(Status[Spouse], MATCH(ROWS($Q$3:Q12) - 1, Status[T2], 0)), "")</f>
        <v>Federal Civilian (USPS, VA, etc.)</v>
      </c>
      <c r="S12" s="17" t="s">
        <v>531</v>
      </c>
    </row>
    <row r="13" spans="1:19" x14ac:dyDescent="0.25">
      <c r="A13">
        <v>10</v>
      </c>
      <c r="B13" t="s">
        <v>340</v>
      </c>
      <c r="C13" t="s">
        <v>164</v>
      </c>
      <c r="D13" s="17" t="str">
        <f>Status[[#This Row],[Status]] &amp; ""</f>
        <v>Federal Civilian (USPS, VA, etc.)</v>
      </c>
      <c r="E13">
        <v>12</v>
      </c>
      <c r="F13" s="17" t="str">
        <f>IF(LEFT(Status[[#This Row],[Which]], 1) = "1", Status[[#This Row],[Key]], "")</f>
        <v>Federal Civilian (USPS, VA, etc.)</v>
      </c>
      <c r="G13" s="17" t="str">
        <f>IF(RIGHT(Status[[#This Row],[Which]], 1) = "2", Status[[#This Row],[Key]], "")</f>
        <v>Federal Civilian (USPS, VA, etc.)</v>
      </c>
      <c r="H13" s="17" t="s">
        <v>6</v>
      </c>
      <c r="I13" s="17"/>
      <c r="J13" s="17" t="s">
        <v>681</v>
      </c>
      <c r="K13" s="17" t="s">
        <v>681</v>
      </c>
      <c r="L13" s="17" t="s">
        <v>383</v>
      </c>
      <c r="M13" s="17">
        <f>--ISNUMBER(IFERROR(SEARCH("*", Status[[#This Row],[Sponsor]], 1), ""))</f>
        <v>1</v>
      </c>
      <c r="N13" s="17">
        <f>IF(Status[[#This Row],[S1]] = 1, COUNTIF($M$3:M13, 1), "")</f>
        <v>9</v>
      </c>
      <c r="O13" s="17" t="str">
        <f>IFERROR(INDEX(Status[Sponsor], MATCH(ROWS($N$3:N13) - 1, Status[S2], 0)), "")</f>
        <v>Private Civilian--IMCOM-approved</v>
      </c>
      <c r="P13" s="17">
        <f>--ISNUMBER(IFERROR(SEARCH("*", Status[[#This Row],[Spouse]], 1), ""))</f>
        <v>1</v>
      </c>
      <c r="Q13" s="17">
        <f>IF(Status[[#This Row],[T1]] = 1, COUNTIF($P$3:P13, 1), "")</f>
        <v>9</v>
      </c>
      <c r="R13" s="17" t="str">
        <f>IFERROR(INDEX(Status[Spouse], MATCH(ROWS($Q$3:Q13) - 1, Status[T2], 0)), "")</f>
        <v>Other Civilian</v>
      </c>
      <c r="S13" s="17" t="s">
        <v>531</v>
      </c>
    </row>
    <row r="14" spans="1:19" x14ac:dyDescent="0.25">
      <c r="A14">
        <v>11</v>
      </c>
      <c r="B14" t="s">
        <v>217</v>
      </c>
      <c r="D14" s="17" t="str">
        <f>Status[[#This Row],[Status]] &amp; ""</f>
        <v>Other Civilian</v>
      </c>
      <c r="E14">
        <v>2</v>
      </c>
      <c r="F14" s="17" t="str">
        <f>IF(LEFT(Status[[#This Row],[Which]], 1) = "1", Status[[#This Row],[Key]], "")</f>
        <v/>
      </c>
      <c r="G14" s="17" t="str">
        <f>IF(RIGHT(Status[[#This Row],[Which]], 1) = "2", Status[[#This Row],[Key]], "")</f>
        <v>Other Civilian</v>
      </c>
      <c r="H14" s="74" t="s">
        <v>302</v>
      </c>
      <c r="I14" s="17"/>
      <c r="J14" s="17" t="s">
        <v>681</v>
      </c>
      <c r="K14" s="17" t="s">
        <v>681</v>
      </c>
      <c r="L14" s="17" t="s">
        <v>383</v>
      </c>
      <c r="M14" s="17">
        <f>--ISNUMBER(IFERROR(SEARCH("*", Status[[#This Row],[Sponsor]], 1), ""))</f>
        <v>0</v>
      </c>
      <c r="N14" s="17" t="str">
        <f>IF(Status[[#This Row],[S1]] = 1, COUNTIF($M$3:M14, 1), "")</f>
        <v/>
      </c>
      <c r="O14" s="17" t="str">
        <f>IFERROR(INDEX(Status[Sponsor], MATCH(ROWS($N$3:N14) - 1, Status[S2], 0)), "")</f>
        <v>Retired military</v>
      </c>
      <c r="P14" s="17">
        <f>--ISNUMBER(IFERROR(SEARCH("*", Status[[#This Row],[Spouse]], 1), ""))</f>
        <v>1</v>
      </c>
      <c r="Q14" s="17">
        <f>IF(Status[[#This Row],[T1]] = 1, COUNTIF($P$3:P14, 1), "")</f>
        <v>10</v>
      </c>
      <c r="R14" s="17" t="str">
        <f>IFERROR(INDEX(Status[Spouse], MATCH(ROWS($Q$3:Q14) - 1, Status[T2], 0)), "")</f>
        <v>Student</v>
      </c>
      <c r="S14" s="17"/>
    </row>
    <row r="15" spans="1:19" x14ac:dyDescent="0.25">
      <c r="A15">
        <v>12</v>
      </c>
      <c r="B15" t="s">
        <v>312</v>
      </c>
      <c r="C15" t="s">
        <v>164</v>
      </c>
      <c r="D15" s="17" t="str">
        <f>Status[[#This Row],[Status]] &amp; ""</f>
        <v>Private Civilian--IMCOM-approved</v>
      </c>
      <c r="E15">
        <v>1</v>
      </c>
      <c r="F15" s="17" t="str">
        <f>IF(LEFT(Status[[#This Row],[Which]], 1) = "1", Status[[#This Row],[Key]], "")</f>
        <v>Private Civilian--IMCOM-approved</v>
      </c>
      <c r="G15" s="17" t="str">
        <f>IF(RIGHT(Status[[#This Row],[Which]], 1) = "2", Status[[#This Row],[Key]], "")</f>
        <v/>
      </c>
      <c r="H15" s="17" t="s">
        <v>6</v>
      </c>
      <c r="I15" s="17"/>
      <c r="J15" s="17" t="s">
        <v>681</v>
      </c>
      <c r="K15" s="17" t="s">
        <v>681</v>
      </c>
      <c r="L15" s="17"/>
      <c r="M15" s="17">
        <f>--ISNUMBER(IFERROR(SEARCH("*", Status[[#This Row],[Sponsor]], 1), ""))</f>
        <v>1</v>
      </c>
      <c r="N15" s="17">
        <f>IF(Status[[#This Row],[S1]] = 1, COUNTIF($M$3:M15, 1), "")</f>
        <v>10</v>
      </c>
      <c r="O15" s="17" t="str">
        <f>IFERROR(INDEX(Status[Sponsor], MATCH(ROWS($N$3:N15) - 1, Status[S2], 0)), "")</f>
        <v/>
      </c>
      <c r="P15" s="17">
        <f>--ISNUMBER(IFERROR(SEARCH("*", Status[[#This Row],[Spouse]], 1), ""))</f>
        <v>0</v>
      </c>
      <c r="Q15" s="17" t="str">
        <f>IF(Status[[#This Row],[T1]] = 1, COUNTIF($P$3:P15, 1), "")</f>
        <v/>
      </c>
      <c r="R15" s="17" t="str">
        <f>IFERROR(INDEX(Status[Spouse], MATCH(ROWS($Q$3:Q15) - 1, Status[T2], 0)), "")</f>
        <v>Unemployed</v>
      </c>
      <c r="S15" s="17" t="s">
        <v>531</v>
      </c>
    </row>
    <row r="16" spans="1:19" x14ac:dyDescent="0.25">
      <c r="A16">
        <v>13</v>
      </c>
      <c r="B16" t="s">
        <v>213</v>
      </c>
      <c r="D16" s="17" t="str">
        <f>Status[[#This Row],[Status]] &amp; ""</f>
        <v>Student</v>
      </c>
      <c r="E16">
        <v>2</v>
      </c>
      <c r="F16" s="17" t="str">
        <f>IF(LEFT(Status[[#This Row],[Which]], 1) = "1", Status[[#This Row],[Key]], "")</f>
        <v/>
      </c>
      <c r="G16" s="17" t="str">
        <f>IF(RIGHT(Status[[#This Row],[Which]], 1) = "2", Status[[#This Row],[Key]], "")</f>
        <v>Student</v>
      </c>
      <c r="H16" s="74" t="s">
        <v>302</v>
      </c>
      <c r="I16" s="17"/>
      <c r="J16" s="17" t="s">
        <v>681</v>
      </c>
      <c r="K16" s="17" t="s">
        <v>681</v>
      </c>
      <c r="L16" s="17" t="s">
        <v>381</v>
      </c>
      <c r="M16" s="17">
        <f>--ISNUMBER(IFERROR(SEARCH("*", Status[[#This Row],[Sponsor]], 1), ""))</f>
        <v>0</v>
      </c>
      <c r="N16" s="17" t="str">
        <f>IF(Status[[#This Row],[S1]] = 1, COUNTIF($M$3:M16, 1), "")</f>
        <v/>
      </c>
      <c r="O16" s="17" t="str">
        <f>IFERROR(INDEX(Status[Sponsor], MATCH(ROWS($N$3:N16) - 1, Status[S2], 0)), "")</f>
        <v/>
      </c>
      <c r="P16" s="17">
        <f>--ISNUMBER(IFERROR(SEARCH("*", Status[[#This Row],[Spouse]], 1), ""))</f>
        <v>1</v>
      </c>
      <c r="Q16" s="17">
        <f>IF(Status[[#This Row],[T1]] = 1, COUNTIF($P$3:P16, 1), "")</f>
        <v>11</v>
      </c>
      <c r="R16" s="17" t="str">
        <f>IFERROR(INDEX(Status[Spouse], MATCH(ROWS($Q$3:Q16) - 1, Status[T2], 0)), "")</f>
        <v/>
      </c>
      <c r="S16" s="17"/>
    </row>
    <row r="17" spans="1:19" x14ac:dyDescent="0.25">
      <c r="A17">
        <v>14</v>
      </c>
      <c r="B17" t="s">
        <v>214</v>
      </c>
      <c r="C17" t="s">
        <v>164</v>
      </c>
      <c r="D17" s="17" t="str">
        <f>Status[[#This Row],[Status]] &amp; ""</f>
        <v>Retired military</v>
      </c>
      <c r="E17">
        <v>1</v>
      </c>
      <c r="F17" s="17" t="str">
        <f>IF(LEFT(Status[[#This Row],[Which]], 1) = "1", Status[[#This Row],[Key]], "")</f>
        <v>Retired military</v>
      </c>
      <c r="G17" s="17" t="str">
        <f>IF(RIGHT(Status[[#This Row],[Which]], 1) = "2", Status[[#This Row],[Key]], "")</f>
        <v/>
      </c>
      <c r="H17" s="17" t="s">
        <v>6</v>
      </c>
      <c r="I17" s="17"/>
      <c r="J17" s="17" t="s">
        <v>681</v>
      </c>
      <c r="K17" s="17" t="s">
        <v>681</v>
      </c>
      <c r="L17" s="17"/>
      <c r="M17" s="17">
        <f>--ISNUMBER(IFERROR(SEARCH("*", Status[[#This Row],[Sponsor]], 1), ""))</f>
        <v>1</v>
      </c>
      <c r="N17" s="17">
        <f>IF(Status[[#This Row],[S1]] = 1, COUNTIF($M$3:M17, 1), "")</f>
        <v>11</v>
      </c>
      <c r="O17" s="17" t="str">
        <f>IFERROR(INDEX(Status[Sponsor], MATCH(ROWS($N$3:N17) - 1, Status[S2], 0)), "")</f>
        <v/>
      </c>
      <c r="P17" s="17">
        <f>--ISNUMBER(IFERROR(SEARCH("*", Status[[#This Row],[Spouse]], 1), ""))</f>
        <v>0</v>
      </c>
      <c r="Q17" s="17" t="str">
        <f>IF(Status[[#This Row],[T1]] = 1, COUNTIF($P$3:P17, 1), "")</f>
        <v/>
      </c>
      <c r="R17" s="17" t="str">
        <f>IFERROR(INDEX(Status[Spouse], MATCH(ROWS($Q$3:Q17) - 1, Status[T2], 0)), "")</f>
        <v/>
      </c>
      <c r="S17" s="17" t="s">
        <v>531</v>
      </c>
    </row>
    <row r="18" spans="1:19" x14ac:dyDescent="0.25">
      <c r="A18">
        <v>15</v>
      </c>
      <c r="B18" t="s">
        <v>215</v>
      </c>
      <c r="D18" s="17" t="str">
        <f>Status[[#This Row],[Status]] &amp; ""</f>
        <v>Unemployed</v>
      </c>
      <c r="E18">
        <v>2</v>
      </c>
      <c r="F18" s="17" t="str">
        <f>IF(LEFT(Status[[#This Row],[Which]], 1) = "1", Status[[#This Row],[Key]], "")</f>
        <v/>
      </c>
      <c r="G18" s="17" t="str">
        <f>IF(RIGHT(Status[[#This Row],[Which]], 1) = "2", Status[[#This Row],[Key]], "")</f>
        <v>Unemployed</v>
      </c>
      <c r="H18" s="74" t="s">
        <v>302</v>
      </c>
      <c r="I18" s="17"/>
      <c r="J18" s="17" t="s">
        <v>681</v>
      </c>
      <c r="K18" s="17" t="s">
        <v>681</v>
      </c>
      <c r="L18" s="17" t="s">
        <v>381</v>
      </c>
      <c r="M18" s="17">
        <f>--ISNUMBER(IFERROR(SEARCH("*", Status[[#This Row],[Sponsor]], 1), ""))</f>
        <v>0</v>
      </c>
      <c r="N18" s="17" t="str">
        <f>IF(Status[[#This Row],[S1]] = 1, COUNTIF($M$3:M18, 1), "")</f>
        <v/>
      </c>
      <c r="O18" s="17" t="str">
        <f>IFERROR(INDEX(Status[Sponsor], MATCH(ROWS($N$3:N18) - 1, Status[S2], 0)), "")</f>
        <v/>
      </c>
      <c r="P18" s="17">
        <f>--ISNUMBER(IFERROR(SEARCH("*", Status[[#This Row],[Spouse]], 1), ""))</f>
        <v>1</v>
      </c>
      <c r="Q18" s="17">
        <f>IF(Status[[#This Row],[T1]] = 1, COUNTIF($P$3:P18, 1), "")</f>
        <v>12</v>
      </c>
      <c r="R18" s="17" t="str">
        <f>IFERROR(INDEX(Status[Spouse], MATCH(ROWS($Q$3:Q18) - 1, Status[T2], 0)), "")</f>
        <v/>
      </c>
      <c r="S18" s="17"/>
    </row>
  </sheetData>
  <sheetProtection algorithmName="SHA-512" hashValue="dzYuq3phoWgk0htLFIb5IQLTOdlzlFZv/5dIcgfMpGyo9+fgIAWG5v7jtaOfSsMSL9IxewzJ4/sLKtJZ+c8hkw==" saltValue="xjOwSQruOnxRzVaQkLSJpQ==" spinCount="100000" sheet="1" objects="1" scenarios="1"/>
  <conditionalFormatting sqref="A2:S18">
    <cfRule type="expression" dxfId="23" priority="2">
      <formula>LEFT(_xlfn.FORMULATEXT(A2), 1) = "="</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sheetPr>
  <dimension ref="A2:N44"/>
  <sheetViews>
    <sheetView topLeftCell="A20" workbookViewId="0">
      <selection activeCell="G38" sqref="G38"/>
    </sheetView>
  </sheetViews>
  <sheetFormatPr defaultRowHeight="15" x14ac:dyDescent="0.25"/>
  <cols>
    <col min="1" max="1" width="8.42578125" bestFit="1" customWidth="1"/>
    <col min="2" max="2" width="31.140625" bestFit="1" customWidth="1"/>
    <col min="3" max="3" width="24.5703125" bestFit="1" customWidth="1"/>
    <col min="4" max="4" width="31.140625" bestFit="1" customWidth="1"/>
    <col min="5" max="5" width="9" bestFit="1" customWidth="1"/>
    <col min="6" max="7" width="44" bestFit="1" customWidth="1"/>
    <col min="8" max="8" width="12.140625" bestFit="1" customWidth="1"/>
    <col min="9" max="10" width="5.28515625" bestFit="1" customWidth="1"/>
    <col min="11" max="11" width="44" bestFit="1" customWidth="1"/>
    <col min="12" max="13" width="5.28515625" bestFit="1" customWidth="1"/>
    <col min="14" max="14" width="44" bestFit="1" customWidth="1"/>
  </cols>
  <sheetData>
    <row r="2" spans="1:14" x14ac:dyDescent="0.25">
      <c r="A2" s="73" t="s">
        <v>308</v>
      </c>
      <c r="B2" s="73" t="s">
        <v>168</v>
      </c>
      <c r="C2" s="73" t="s">
        <v>169</v>
      </c>
      <c r="D2" s="73" t="s">
        <v>171</v>
      </c>
      <c r="E2" s="73" t="s">
        <v>172</v>
      </c>
      <c r="F2" s="73" t="s">
        <v>9</v>
      </c>
      <c r="G2" s="73" t="s">
        <v>173</v>
      </c>
      <c r="H2" s="73" t="s">
        <v>293</v>
      </c>
      <c r="I2" s="73" t="s">
        <v>313</v>
      </c>
      <c r="J2" s="73" t="s">
        <v>314</v>
      </c>
      <c r="K2" s="73" t="s">
        <v>315</v>
      </c>
      <c r="L2" s="73" t="s">
        <v>316</v>
      </c>
      <c r="M2" s="73" t="s">
        <v>317</v>
      </c>
      <c r="N2" s="73" t="s">
        <v>318</v>
      </c>
    </row>
    <row r="3" spans="1:14" x14ac:dyDescent="0.25">
      <c r="A3">
        <v>1</v>
      </c>
      <c r="D3" s="17" t="str">
        <f>SUBSTITUTE(SUBSTITUTE(SUBSTITUTE(StatusBranch[[#This Row],[Status]] &amp; "  /  " &amp; StatusBranch[[#This Row],[Branch]] &amp; ";", "  /  ;", ";"), "  /  ;", ";"), ";", "")</f>
        <v/>
      </c>
      <c r="E3">
        <v>2</v>
      </c>
      <c r="F3" s="17" t="str">
        <f>IF(LEFT(StatusBranch[[#This Row],[Which]], 1) = "1", StatusBranch[[#This Row],[Key]] &amp; "", "")</f>
        <v/>
      </c>
      <c r="G3" s="17" t="str">
        <f>IF(RIGHT(StatusBranch[[#This Row],[Which]], 1) = "2", StatusBranch[[#This Row],[Key]] &amp; "", "")</f>
        <v/>
      </c>
      <c r="H3" s="74" t="s">
        <v>302</v>
      </c>
      <c r="I3" s="17">
        <f>--ISNUMBER(IFERROR(SEARCH('Calculation Worksheet'!$AV$6, StatusBranch[[#This Row],[Sponsor]], 1), ""))</f>
        <v>0</v>
      </c>
      <c r="J3" s="17" t="str">
        <f>IF(StatusBranch[[#This Row],[S1]] = 1, COUNTIF($I$3:I3, 1), "")</f>
        <v/>
      </c>
      <c r="K3" s="17" t="str">
        <f>IFERROR(INDEX(StatusBranch[Branch], MATCH(ROWS($J$3:J3), StatusBranch[S2], 0)), "") &amp; ""</f>
        <v>Base</v>
      </c>
      <c r="L3" s="17">
        <f>--ISNUMBER(IFERROR(SEARCH('Calculation Worksheet'!$CG$6, StatusBranch[[#This Row],[Spouse]], 1), ""))</f>
        <v>0</v>
      </c>
      <c r="M3" s="17" t="str">
        <f>IF(StatusBranch[[#This Row],[T1]] = 1, COUNTIF($L$3:L3, 1), "")</f>
        <v/>
      </c>
      <c r="N3" s="17" t="str">
        <f>IFERROR(INDEX(StatusBranch[Branch], MATCH(ROWS($M$3:M3), StatusBranch[T2], 0)), "") &amp; ""</f>
        <v/>
      </c>
    </row>
    <row r="4" spans="1:14" x14ac:dyDescent="0.25">
      <c r="A4">
        <v>2</v>
      </c>
      <c r="B4" t="s">
        <v>388</v>
      </c>
      <c r="D4" s="17" t="str">
        <f>SUBSTITUTE(SUBSTITUTE(SUBSTITUTE(StatusBranch[[#This Row],[Status]] &amp; "  /  " &amp; StatusBranch[[#This Row],[Branch]] &amp; ";", "  /  ;", ";"), "  /  ;", ";"), ";", "")</f>
        <v>No Spouse/Partner</v>
      </c>
      <c r="E4">
        <v>2</v>
      </c>
      <c r="F4" s="17" t="str">
        <f>IF(LEFT(StatusBranch[[#This Row],[Which]], 1) = "1", StatusBranch[[#This Row],[Key]] &amp; "", "")</f>
        <v/>
      </c>
      <c r="G4" s="17" t="str">
        <f>IF(RIGHT(StatusBranch[[#This Row],[Which]], 1) = "2", StatusBranch[[#This Row],[Key]] &amp; "", "")</f>
        <v>No Spouse/Partner</v>
      </c>
      <c r="H4" s="63" t="s">
        <v>303</v>
      </c>
      <c r="I4" s="17">
        <f>--ISNUMBER(IFERROR(SEARCH('Calculation Worksheet'!$AV$6, StatusBranch[[#This Row],[Sponsor]], 1), ""))</f>
        <v>0</v>
      </c>
      <c r="J4" s="17" t="str">
        <f>IF(StatusBranch[[#This Row],[S1]] = 1, COUNTIF($I$3:I4, 1), "")</f>
        <v/>
      </c>
      <c r="K4" s="17" t="str">
        <f>IFERROR(INDEX(StatusBranch[Branch], MATCH(ROWS($J$3:J4), StatusBranch[S2], 0)), "") &amp; ""</f>
        <v>CDC</v>
      </c>
      <c r="L4" s="17">
        <f>--ISNUMBER(IFERROR(SEARCH('Calculation Worksheet'!$CG$6, StatusBranch[[#This Row],[Spouse]], 1), ""))</f>
        <v>1</v>
      </c>
      <c r="M4" s="17">
        <f>IF(StatusBranch[[#This Row],[T1]] = 1, COUNTIF($L$3:L4, 1), "")</f>
        <v>1</v>
      </c>
      <c r="N4" s="17" t="str">
        <f>IFERROR(INDEX(StatusBranch[Branch], MATCH(ROWS($M$3:M4), StatusBranch[T2], 0)), "") &amp; ""</f>
        <v>Base</v>
      </c>
    </row>
    <row r="5" spans="1:14" x14ac:dyDescent="0.25">
      <c r="A5">
        <v>3</v>
      </c>
      <c r="B5" t="s">
        <v>186</v>
      </c>
      <c r="C5" t="s">
        <v>187</v>
      </c>
      <c r="D5" s="17" t="str">
        <f>SUBSTITUTE(SUBSTITUTE(SUBSTITUTE(StatusBranch[[#This Row],[Status]] &amp; "  /  " &amp; StatusBranch[[#This Row],[Branch]] &amp; ";", "  /  ;", ";"), "  /  ;", ";"), ";", "")</f>
        <v>CYS  /  Base</v>
      </c>
      <c r="E5">
        <v>12</v>
      </c>
      <c r="F5" s="17" t="str">
        <f>IF(LEFT(StatusBranch[[#This Row],[Which]], 1) = "1", StatusBranch[[#This Row],[Key]] &amp; "", "")</f>
        <v>CYS  /  Base</v>
      </c>
      <c r="G5" s="17" t="str">
        <f>IF(RIGHT(StatusBranch[[#This Row],[Which]], 1) = "2", StatusBranch[[#This Row],[Key]] &amp; "", "")</f>
        <v>CYS  /  Base</v>
      </c>
      <c r="H5" s="17" t="s">
        <v>186</v>
      </c>
      <c r="I5" s="17">
        <f>--ISNUMBER(IFERROR(SEARCH('Calculation Worksheet'!$AV$6, StatusBranch[[#This Row],[Sponsor]], 1), ""))</f>
        <v>1</v>
      </c>
      <c r="J5" s="17">
        <f>IF(StatusBranch[[#This Row],[S1]] = 1, COUNTIF($I$3:I5, 1), "")</f>
        <v>1</v>
      </c>
      <c r="K5" s="17" t="str">
        <f>IFERROR(INDEX(StatusBranch[Branch], MATCH(ROWS($J$3:J5), StatusBranch[S2], 0)), "") &amp; ""</f>
        <v>FCC</v>
      </c>
      <c r="L5" s="17">
        <f>--ISNUMBER(IFERROR(SEARCH('Calculation Worksheet'!$CG$6, StatusBranch[[#This Row],[Spouse]], 1), ""))</f>
        <v>1</v>
      </c>
      <c r="M5" s="17">
        <f>IF(StatusBranch[[#This Row],[T1]] = 1, COUNTIF($L$3:L5, 1), "")</f>
        <v>2</v>
      </c>
      <c r="N5" s="17" t="str">
        <f>IFERROR(INDEX(StatusBranch[Branch], MATCH(ROWS($M$3:M5), StatusBranch[T2], 0)), "") &amp; ""</f>
        <v>CDC</v>
      </c>
    </row>
    <row r="6" spans="1:14" x14ac:dyDescent="0.25">
      <c r="A6">
        <v>3</v>
      </c>
      <c r="B6" t="s">
        <v>186</v>
      </c>
      <c r="C6" t="s">
        <v>188</v>
      </c>
      <c r="D6" s="17" t="str">
        <f>SUBSTITUTE(SUBSTITUTE(SUBSTITUTE(StatusBranch[[#This Row],[Status]] &amp; "  /  " &amp; StatusBranch[[#This Row],[Branch]] &amp; ";", "  /  ;", ";"), "  /  ;", ";"), ";", "")</f>
        <v>CYS  /  CDC</v>
      </c>
      <c r="E6">
        <v>12</v>
      </c>
      <c r="F6" s="17" t="str">
        <f>IF(LEFT(StatusBranch[[#This Row],[Which]], 1) = "1", StatusBranch[[#This Row],[Key]] &amp; "", "")</f>
        <v>CYS  /  CDC</v>
      </c>
      <c r="G6" s="17" t="str">
        <f>IF(RIGHT(StatusBranch[[#This Row],[Which]], 1) = "2", StatusBranch[[#This Row],[Key]] &amp; "", "")</f>
        <v>CYS  /  CDC</v>
      </c>
      <c r="H6" s="17" t="s">
        <v>186</v>
      </c>
      <c r="I6" s="17">
        <f>--ISNUMBER(IFERROR(SEARCH('Calculation Worksheet'!$AV$6, StatusBranch[[#This Row],[Sponsor]], 1), ""))</f>
        <v>1</v>
      </c>
      <c r="J6" s="17">
        <f>IF(StatusBranch[[#This Row],[S1]] = 1, COUNTIF($I$3:I6, 1), "")</f>
        <v>2</v>
      </c>
      <c r="K6" s="17" t="str">
        <f>IFERROR(INDEX(StatusBranch[Branch], MATCH(ROWS($J$3:J6), StatusBranch[S2], 0)), "") &amp; ""</f>
        <v>MST</v>
      </c>
      <c r="L6" s="17">
        <f>--ISNUMBER(IFERROR(SEARCH('Calculation Worksheet'!$CG$6, StatusBranch[[#This Row],[Spouse]], 1), ""))</f>
        <v>1</v>
      </c>
      <c r="M6" s="17">
        <f>IF(StatusBranch[[#This Row],[T1]] = 1, COUNTIF($L$3:L6, 1), "")</f>
        <v>3</v>
      </c>
      <c r="N6" s="17" t="str">
        <f>IFERROR(INDEX(StatusBranch[Branch], MATCH(ROWS($M$3:M6), StatusBranch[T2], 0)), "") &amp; ""</f>
        <v>FCC</v>
      </c>
    </row>
    <row r="7" spans="1:14" x14ac:dyDescent="0.25">
      <c r="A7">
        <v>3</v>
      </c>
      <c r="B7" t="s">
        <v>186</v>
      </c>
      <c r="C7" t="s">
        <v>136</v>
      </c>
      <c r="D7" s="17" t="str">
        <f>SUBSTITUTE(SUBSTITUTE(SUBSTITUTE(StatusBranch[[#This Row],[Status]] &amp; "  /  " &amp; StatusBranch[[#This Row],[Branch]] &amp; ";", "  /  ;", ";"), "  /  ;", ";"), ";", "")</f>
        <v>CYS  /  FCC</v>
      </c>
      <c r="E7">
        <v>12</v>
      </c>
      <c r="F7" s="17" t="str">
        <f>IF(LEFT(StatusBranch[[#This Row],[Which]], 1) = "1", StatusBranch[[#This Row],[Key]] &amp; "", "")</f>
        <v>CYS  /  FCC</v>
      </c>
      <c r="G7" s="17" t="str">
        <f>IF(RIGHT(StatusBranch[[#This Row],[Which]], 1) = "2", StatusBranch[[#This Row],[Key]] &amp; "", "")</f>
        <v>CYS  /  FCC</v>
      </c>
      <c r="H7" s="17" t="s">
        <v>186</v>
      </c>
      <c r="I7" s="17">
        <f>--ISNUMBER(IFERROR(SEARCH('Calculation Worksheet'!$AV$6, StatusBranch[[#This Row],[Sponsor]], 1), ""))</f>
        <v>1</v>
      </c>
      <c r="J7" s="17">
        <f>IF(StatusBranch[[#This Row],[S1]] = 1, COUNTIF($I$3:I7, 1), "")</f>
        <v>3</v>
      </c>
      <c r="K7" s="17" t="str">
        <f>IFERROR(INDEX(StatusBranch[Branch], MATCH(ROWS($J$3:J7), StatusBranch[S2], 0)), "") &amp; ""</f>
        <v>P&amp;OS</v>
      </c>
      <c r="L7" s="17">
        <f>--ISNUMBER(IFERROR(SEARCH('Calculation Worksheet'!$CG$6, StatusBranch[[#This Row],[Spouse]], 1), ""))</f>
        <v>1</v>
      </c>
      <c r="M7" s="17">
        <f>IF(StatusBranch[[#This Row],[T1]] = 1, COUNTIF($L$3:L7, 1), "")</f>
        <v>4</v>
      </c>
      <c r="N7" s="17" t="str">
        <f>IFERROR(INDEX(StatusBranch[Branch], MATCH(ROWS($M$3:M7), StatusBranch[T2], 0)), "") &amp; ""</f>
        <v>MST</v>
      </c>
    </row>
    <row r="8" spans="1:14" x14ac:dyDescent="0.25">
      <c r="A8">
        <v>3</v>
      </c>
      <c r="B8" t="s">
        <v>186</v>
      </c>
      <c r="C8" t="s">
        <v>189</v>
      </c>
      <c r="D8" s="17" t="str">
        <f>SUBSTITUTE(SUBSTITUTE(SUBSTITUTE(StatusBranch[[#This Row],[Status]] &amp; "  /  " &amp; StatusBranch[[#This Row],[Branch]] &amp; ";", "  /  ;", ";"), "  /  ;", ";"), ";", "")</f>
        <v>CYS  /  MST</v>
      </c>
      <c r="E8">
        <v>12</v>
      </c>
      <c r="F8" s="17" t="str">
        <f>IF(LEFT(StatusBranch[[#This Row],[Which]], 1) = "1", StatusBranch[[#This Row],[Key]] &amp; "", "")</f>
        <v>CYS  /  MST</v>
      </c>
      <c r="G8" s="17" t="str">
        <f>IF(RIGHT(StatusBranch[[#This Row],[Which]], 1) = "2", StatusBranch[[#This Row],[Key]] &amp; "", "")</f>
        <v>CYS  /  MST</v>
      </c>
      <c r="H8" s="17" t="s">
        <v>186</v>
      </c>
      <c r="I8" s="17">
        <f>--ISNUMBER(IFERROR(SEARCH('Calculation Worksheet'!$AV$6, StatusBranch[[#This Row],[Sponsor]], 1), ""))</f>
        <v>1</v>
      </c>
      <c r="J8" s="17">
        <f>IF(StatusBranch[[#This Row],[S1]] = 1, COUNTIF($I$3:I8, 1), "")</f>
        <v>4</v>
      </c>
      <c r="K8" s="17" t="str">
        <f>IFERROR(INDEX(StatusBranch[Branch], MATCH(ROWS($J$3:J8), StatusBranch[S2], 0)), "") &amp; ""</f>
        <v>SAC</v>
      </c>
      <c r="L8" s="17">
        <f>--ISNUMBER(IFERROR(SEARCH('Calculation Worksheet'!$CG$6, StatusBranch[[#This Row],[Spouse]], 1), ""))</f>
        <v>1</v>
      </c>
      <c r="M8" s="17">
        <f>IF(StatusBranch[[#This Row],[T1]] = 1, COUNTIF($L$3:L8, 1), "")</f>
        <v>5</v>
      </c>
      <c r="N8" s="17" t="str">
        <f>IFERROR(INDEX(StatusBranch[Branch], MATCH(ROWS($M$3:M8), StatusBranch[T2], 0)), "") &amp; ""</f>
        <v>P&amp;OS</v>
      </c>
    </row>
    <row r="9" spans="1:14" x14ac:dyDescent="0.25">
      <c r="A9">
        <v>3</v>
      </c>
      <c r="B9" t="s">
        <v>186</v>
      </c>
      <c r="C9" t="s">
        <v>190</v>
      </c>
      <c r="D9" s="17" t="str">
        <f>SUBSTITUTE(SUBSTITUTE(SUBSTITUTE(StatusBranch[[#This Row],[Status]] &amp; "  /  " &amp; StatusBranch[[#This Row],[Branch]] &amp; ";", "  /  ;", ";"), "  /  ;", ";"), ";", "")</f>
        <v>CYS  /  P&amp;OS</v>
      </c>
      <c r="E9">
        <v>12</v>
      </c>
      <c r="F9" s="17" t="str">
        <f>IF(LEFT(StatusBranch[[#This Row],[Which]], 1) = "1", StatusBranch[[#This Row],[Key]] &amp; "", "")</f>
        <v>CYS  /  P&amp;OS</v>
      </c>
      <c r="G9" s="17" t="str">
        <f>IF(RIGHT(StatusBranch[[#This Row],[Which]], 1) = "2", StatusBranch[[#This Row],[Key]] &amp; "", "")</f>
        <v>CYS  /  P&amp;OS</v>
      </c>
      <c r="H9" s="17" t="s">
        <v>186</v>
      </c>
      <c r="I9" s="17">
        <f>--ISNUMBER(IFERROR(SEARCH('Calculation Worksheet'!$AV$6, StatusBranch[[#This Row],[Sponsor]], 1), ""))</f>
        <v>1</v>
      </c>
      <c r="J9" s="17">
        <f>IF(StatusBranch[[#This Row],[S1]] = 1, COUNTIF($I$3:I9, 1), "")</f>
        <v>5</v>
      </c>
      <c r="K9" s="17" t="str">
        <f>IFERROR(INDEX(StatusBranch[Branch], MATCH(ROWS($J$3:J9), StatusBranch[S2], 0)), "") &amp; ""</f>
        <v>YS&amp;F</v>
      </c>
      <c r="L9" s="17">
        <f>--ISNUMBER(IFERROR(SEARCH('Calculation Worksheet'!$CG$6, StatusBranch[[#This Row],[Spouse]], 1), ""))</f>
        <v>1</v>
      </c>
      <c r="M9" s="17">
        <f>IF(StatusBranch[[#This Row],[T1]] = 1, COUNTIF($L$3:L9, 1), "")</f>
        <v>6</v>
      </c>
      <c r="N9" s="17" t="str">
        <f>IFERROR(INDEX(StatusBranch[Branch], MATCH(ROWS($M$3:M9), StatusBranch[T2], 0)), "") &amp; ""</f>
        <v>SAC</v>
      </c>
    </row>
    <row r="10" spans="1:14" x14ac:dyDescent="0.25">
      <c r="A10">
        <v>3</v>
      </c>
      <c r="B10" t="s">
        <v>186</v>
      </c>
      <c r="C10" t="s">
        <v>191</v>
      </c>
      <c r="D10" s="17" t="str">
        <f>SUBSTITUTE(SUBSTITUTE(SUBSTITUTE(StatusBranch[[#This Row],[Status]] &amp; "  /  " &amp; StatusBranch[[#This Row],[Branch]] &amp; ";", "  /  ;", ";"), "  /  ;", ";"), ";", "")</f>
        <v>CYS  /  SAC</v>
      </c>
      <c r="E10">
        <v>12</v>
      </c>
      <c r="F10" s="17" t="str">
        <f>IF(LEFT(StatusBranch[[#This Row],[Which]], 1) = "1", StatusBranch[[#This Row],[Key]] &amp; "", "")</f>
        <v>CYS  /  SAC</v>
      </c>
      <c r="G10" s="17" t="str">
        <f>IF(RIGHT(StatusBranch[[#This Row],[Which]], 1) = "2", StatusBranch[[#This Row],[Key]] &amp; "", "")</f>
        <v>CYS  /  SAC</v>
      </c>
      <c r="H10" s="17" t="s">
        <v>186</v>
      </c>
      <c r="I10" s="17">
        <f>--ISNUMBER(IFERROR(SEARCH('Calculation Worksheet'!$AV$6, StatusBranch[[#This Row],[Sponsor]], 1), ""))</f>
        <v>1</v>
      </c>
      <c r="J10" s="17">
        <f>IF(StatusBranch[[#This Row],[S1]] = 1, COUNTIF($I$3:I10, 1), "")</f>
        <v>6</v>
      </c>
      <c r="K10" s="17" t="str">
        <f>IFERROR(INDEX(StatusBranch[Branch], MATCH(ROWS($J$3:J10), StatusBranch[S2], 0)), "") &amp; ""</f>
        <v>Air Force</v>
      </c>
      <c r="L10" s="17">
        <f>--ISNUMBER(IFERROR(SEARCH('Calculation Worksheet'!$CG$6, StatusBranch[[#This Row],[Spouse]], 1), ""))</f>
        <v>1</v>
      </c>
      <c r="M10" s="17">
        <f>IF(StatusBranch[[#This Row],[T1]] = 1, COUNTIF($L$3:L10, 1), "")</f>
        <v>7</v>
      </c>
      <c r="N10" s="17" t="str">
        <f>IFERROR(INDEX(StatusBranch[Branch], MATCH(ROWS($M$3:M10), StatusBranch[T2], 0)), "") &amp; ""</f>
        <v>YS&amp;F</v>
      </c>
    </row>
    <row r="11" spans="1:14" x14ac:dyDescent="0.25">
      <c r="A11">
        <v>3</v>
      </c>
      <c r="B11" t="s">
        <v>186</v>
      </c>
      <c r="C11" t="s">
        <v>192</v>
      </c>
      <c r="D11" s="17" t="str">
        <f>SUBSTITUTE(SUBSTITUTE(SUBSTITUTE(StatusBranch[[#This Row],[Status]] &amp; "  /  " &amp; StatusBranch[[#This Row],[Branch]] &amp; ";", "  /  ;", ";"), "  /  ;", ";"), ";", "")</f>
        <v>CYS  /  YS&amp;F</v>
      </c>
      <c r="E11">
        <v>12</v>
      </c>
      <c r="F11" s="17" t="str">
        <f>IF(LEFT(StatusBranch[[#This Row],[Which]], 1) = "1", StatusBranch[[#This Row],[Key]] &amp; "", "")</f>
        <v>CYS  /  YS&amp;F</v>
      </c>
      <c r="G11" s="17" t="str">
        <f>IF(RIGHT(StatusBranch[[#This Row],[Which]], 1) = "2", StatusBranch[[#This Row],[Key]] &amp; "", "")</f>
        <v>CYS  /  YS&amp;F</v>
      </c>
      <c r="H11" s="17" t="s">
        <v>186</v>
      </c>
      <c r="I11" s="17">
        <f>--ISNUMBER(IFERROR(SEARCH('Calculation Worksheet'!$AV$6, StatusBranch[[#This Row],[Sponsor]], 1), ""))</f>
        <v>1</v>
      </c>
      <c r="J11" s="17">
        <f>IF(StatusBranch[[#This Row],[S1]] = 1, COUNTIF($I$3:I11, 1), "")</f>
        <v>7</v>
      </c>
      <c r="K11" s="17" t="str">
        <f>IFERROR(INDEX(StatusBranch[Branch], MATCH(ROWS($J$3:J11), StatusBranch[S2], 0)), "") &amp; ""</f>
        <v>Army</v>
      </c>
      <c r="L11" s="17">
        <f>--ISNUMBER(IFERROR(SEARCH('Calculation Worksheet'!$CG$6, StatusBranch[[#This Row],[Spouse]], 1), ""))</f>
        <v>1</v>
      </c>
      <c r="M11" s="17">
        <f>IF(StatusBranch[[#This Row],[T1]] = 1, COUNTIF($L$3:L11, 1), "")</f>
        <v>8</v>
      </c>
      <c r="N11" s="17" t="str">
        <f>IFERROR(INDEX(StatusBranch[Branch], MATCH(ROWS($M$3:M11), StatusBranch[T2], 0)), "") &amp; ""</f>
        <v>Air Force</v>
      </c>
    </row>
    <row r="12" spans="1:14" x14ac:dyDescent="0.25">
      <c r="A12">
        <v>4</v>
      </c>
      <c r="B12" t="s">
        <v>339</v>
      </c>
      <c r="C12" t="s">
        <v>183</v>
      </c>
      <c r="D12" s="17" t="str">
        <f>SUBSTITUTE(SUBSTITUTE(SUBSTITUTE(StatusBranch[[#This Row],[Status]] &amp; "  /  " &amp; StatusBranch[[#This Row],[Branch]] &amp; ";", "  /  ;", ";"), "  /  ;", ";"), ";", "")</f>
        <v>Wounded Warrior--GC-approved  /  Air Force</v>
      </c>
      <c r="E12">
        <v>12</v>
      </c>
      <c r="F12" s="17" t="str">
        <f>IF(LEFT(StatusBranch[[#This Row],[Which]], 1) = "1", StatusBranch[[#This Row],[Key]] &amp; "", "")</f>
        <v>Wounded Warrior--GC-approved  /  Air Force</v>
      </c>
      <c r="G12" s="17" t="str">
        <f>IF(RIGHT(StatusBranch[[#This Row],[Which]], 1) = "2", StatusBranch[[#This Row],[Key]] &amp; "", "")</f>
        <v>Wounded Warrior--GC-approved  /  Air Force</v>
      </c>
      <c r="H12" s="17" t="s">
        <v>299</v>
      </c>
      <c r="I12" s="17">
        <f>--ISNUMBER(IFERROR(SEARCH('Calculation Worksheet'!$AV$6, StatusBranch[[#This Row],[Sponsor]], 1), ""))</f>
        <v>1</v>
      </c>
      <c r="J12" s="17">
        <f>IF(StatusBranch[[#This Row],[S1]] = 1, COUNTIF($I$3:I12, 1), "")</f>
        <v>8</v>
      </c>
      <c r="K12" s="17" t="str">
        <f>IFERROR(INDEX(StatusBranch[Branch], MATCH(ROWS($J$3:J12), StatusBranch[S2], 0)), "") &amp; ""</f>
        <v>Marines</v>
      </c>
      <c r="L12" s="17">
        <f>--ISNUMBER(IFERROR(SEARCH('Calculation Worksheet'!$CG$6, StatusBranch[[#This Row],[Spouse]], 1), ""))</f>
        <v>1</v>
      </c>
      <c r="M12" s="17">
        <f>IF(StatusBranch[[#This Row],[T1]] = 1, COUNTIF($L$3:L12, 1), "")</f>
        <v>9</v>
      </c>
      <c r="N12" s="17" t="str">
        <f>IFERROR(INDEX(StatusBranch[Branch], MATCH(ROWS($M$3:M12), StatusBranch[T2], 0)), "") &amp; ""</f>
        <v>Army</v>
      </c>
    </row>
    <row r="13" spans="1:14" x14ac:dyDescent="0.25">
      <c r="A13">
        <v>4</v>
      </c>
      <c r="B13" t="s">
        <v>339</v>
      </c>
      <c r="C13" t="s">
        <v>180</v>
      </c>
      <c r="D13" s="17" t="str">
        <f>SUBSTITUTE(SUBSTITUTE(SUBSTITUTE(StatusBranch[[#This Row],[Status]] &amp; "  /  " &amp; StatusBranch[[#This Row],[Branch]] &amp; ";", "  /  ;", ";"), "  /  ;", ";"), ";", "")</f>
        <v>Wounded Warrior--GC-approved  /  Army</v>
      </c>
      <c r="E13">
        <v>12</v>
      </c>
      <c r="F13" s="17" t="str">
        <f>IF(LEFT(StatusBranch[[#This Row],[Which]], 1) = "1", StatusBranch[[#This Row],[Key]] &amp; "", "")</f>
        <v>Wounded Warrior--GC-approved  /  Army</v>
      </c>
      <c r="G13" s="17" t="str">
        <f>IF(RIGHT(StatusBranch[[#This Row],[Which]], 1) = "2", StatusBranch[[#This Row],[Key]] &amp; "", "")</f>
        <v>Wounded Warrior--GC-approved  /  Army</v>
      </c>
      <c r="H13" s="17" t="s">
        <v>299</v>
      </c>
      <c r="I13" s="17">
        <f>--ISNUMBER(IFERROR(SEARCH('Calculation Worksheet'!$AV$6, StatusBranch[[#This Row],[Sponsor]], 1), ""))</f>
        <v>1</v>
      </c>
      <c r="J13" s="17">
        <f>IF(StatusBranch[[#This Row],[S1]] = 1, COUNTIF($I$3:I13, 1), "")</f>
        <v>9</v>
      </c>
      <c r="K13" s="17" t="str">
        <f>IFERROR(INDEX(StatusBranch[Branch], MATCH(ROWS($J$3:J13), StatusBranch[S2], 0)), "") &amp; ""</f>
        <v>Navy</v>
      </c>
      <c r="L13" s="17">
        <f>--ISNUMBER(IFERROR(SEARCH('Calculation Worksheet'!$CG$6, StatusBranch[[#This Row],[Spouse]], 1), ""))</f>
        <v>1</v>
      </c>
      <c r="M13" s="17">
        <f>IF(StatusBranch[[#This Row],[T1]] = 1, COUNTIF($L$3:L13, 1), "")</f>
        <v>10</v>
      </c>
      <c r="N13" s="17" t="str">
        <f>IFERROR(INDEX(StatusBranch[Branch], MATCH(ROWS($M$3:M13), StatusBranch[T2], 0)), "") &amp; ""</f>
        <v>Marines</v>
      </c>
    </row>
    <row r="14" spans="1:14" x14ac:dyDescent="0.25">
      <c r="A14">
        <v>4</v>
      </c>
      <c r="B14" t="s">
        <v>339</v>
      </c>
      <c r="C14" t="s">
        <v>181</v>
      </c>
      <c r="D14" s="17" t="str">
        <f>SUBSTITUTE(SUBSTITUTE(SUBSTITUTE(StatusBranch[[#This Row],[Status]] &amp; "  /  " &amp; StatusBranch[[#This Row],[Branch]] &amp; ";", "  /  ;", ";"), "  /  ;", ";"), ";", "")</f>
        <v>Wounded Warrior--GC-approved  /  Marines</v>
      </c>
      <c r="E14">
        <v>12</v>
      </c>
      <c r="F14" s="17" t="str">
        <f>IF(LEFT(StatusBranch[[#This Row],[Which]], 1) = "1", StatusBranch[[#This Row],[Key]] &amp; "", "")</f>
        <v>Wounded Warrior--GC-approved  /  Marines</v>
      </c>
      <c r="G14" s="17" t="str">
        <f>IF(RIGHT(StatusBranch[[#This Row],[Which]], 1) = "2", StatusBranch[[#This Row],[Key]] &amp; "", "")</f>
        <v>Wounded Warrior--GC-approved  /  Marines</v>
      </c>
      <c r="H14" s="17" t="s">
        <v>299</v>
      </c>
      <c r="I14" s="17">
        <f>--ISNUMBER(IFERROR(SEARCH('Calculation Worksheet'!$AV$6, StatusBranch[[#This Row],[Sponsor]], 1), ""))</f>
        <v>1</v>
      </c>
      <c r="J14" s="17">
        <f>IF(StatusBranch[[#This Row],[S1]] = 1, COUNTIF($I$3:I14, 1), "")</f>
        <v>10</v>
      </c>
      <c r="K14" s="17" t="str">
        <f>IFERROR(INDEX(StatusBranch[Branch], MATCH(ROWS($J$3:J14), StatusBranch[S2], 0)), "") &amp; ""</f>
        <v>Space Force</v>
      </c>
      <c r="L14" s="17">
        <f>--ISNUMBER(IFERROR(SEARCH('Calculation Worksheet'!$CG$6, StatusBranch[[#This Row],[Spouse]], 1), ""))</f>
        <v>1</v>
      </c>
      <c r="M14" s="17">
        <f>IF(StatusBranch[[#This Row],[T1]] = 1, COUNTIF($L$3:L14, 1), "")</f>
        <v>11</v>
      </c>
      <c r="N14" s="17" t="str">
        <f>IFERROR(INDEX(StatusBranch[Branch], MATCH(ROWS($M$3:M14), StatusBranch[T2], 0)), "") &amp; ""</f>
        <v>Navy</v>
      </c>
    </row>
    <row r="15" spans="1:14" x14ac:dyDescent="0.25">
      <c r="A15">
        <v>4</v>
      </c>
      <c r="B15" t="s">
        <v>339</v>
      </c>
      <c r="C15" t="s">
        <v>182</v>
      </c>
      <c r="D15" s="17" t="str">
        <f>SUBSTITUTE(SUBSTITUTE(SUBSTITUTE(StatusBranch[[#This Row],[Status]] &amp; "  /  " &amp; StatusBranch[[#This Row],[Branch]] &amp; ";", "  /  ;", ";"), "  /  ;", ";"), ";", "")</f>
        <v>Wounded Warrior--GC-approved  /  Navy</v>
      </c>
      <c r="E15">
        <v>12</v>
      </c>
      <c r="F15" s="17" t="str">
        <f>IF(LEFT(StatusBranch[[#This Row],[Which]], 1) = "1", StatusBranch[[#This Row],[Key]] &amp; "", "")</f>
        <v>Wounded Warrior--GC-approved  /  Navy</v>
      </c>
      <c r="G15" s="17" t="str">
        <f>IF(RIGHT(StatusBranch[[#This Row],[Which]], 1) = "2", StatusBranch[[#This Row],[Key]] &amp; "", "")</f>
        <v>Wounded Warrior--GC-approved  /  Navy</v>
      </c>
      <c r="H15" s="17" t="s">
        <v>299</v>
      </c>
      <c r="I15" s="17">
        <f>--ISNUMBER(IFERROR(SEARCH('Calculation Worksheet'!$AV$6, StatusBranch[[#This Row],[Sponsor]], 1), ""))</f>
        <v>1</v>
      </c>
      <c r="J15" s="17">
        <f>IF(StatusBranch[[#This Row],[S1]] = 1, COUNTIF($I$3:I15, 1), "")</f>
        <v>11</v>
      </c>
      <c r="K15" s="17" t="str">
        <f>IFERROR(INDEX(StatusBranch[Branch], MATCH(ROWS($J$3:J15), StatusBranch[S2], 0)), "") &amp; ""</f>
        <v>Air Force</v>
      </c>
      <c r="L15" s="17">
        <f>--ISNUMBER(IFERROR(SEARCH('Calculation Worksheet'!$CG$6, StatusBranch[[#This Row],[Spouse]], 1), ""))</f>
        <v>1</v>
      </c>
      <c r="M15" s="17">
        <f>IF(StatusBranch[[#This Row],[T1]] = 1, COUNTIF($L$3:L15, 1), "")</f>
        <v>12</v>
      </c>
      <c r="N15" s="17" t="str">
        <f>IFERROR(INDEX(StatusBranch[Branch], MATCH(ROWS($M$3:M15), StatusBranch[T2], 0)), "") &amp; ""</f>
        <v>Space Force</v>
      </c>
    </row>
    <row r="16" spans="1:14" x14ac:dyDescent="0.25">
      <c r="A16">
        <v>4</v>
      </c>
      <c r="B16" t="s">
        <v>339</v>
      </c>
      <c r="C16" t="s">
        <v>185</v>
      </c>
      <c r="D16" s="17" t="str">
        <f>SUBSTITUTE(SUBSTITUTE(SUBSTITUTE(StatusBranch[[#This Row],[Status]] &amp; "  /  " &amp; StatusBranch[[#This Row],[Branch]] &amp; ";", "  /  ;", ";"), "  /  ;", ";"), ";", "")</f>
        <v>Wounded Warrior--GC-approved  /  Space Force</v>
      </c>
      <c r="E16">
        <v>12</v>
      </c>
      <c r="F16" s="17" t="str">
        <f>IF(LEFT(StatusBranch[[#This Row],[Which]], 1) = "1", StatusBranch[[#This Row],[Key]] &amp; "", "")</f>
        <v>Wounded Warrior--GC-approved  /  Space Force</v>
      </c>
      <c r="G16" s="17" t="str">
        <f>IF(RIGHT(StatusBranch[[#This Row],[Which]], 1) = "2", StatusBranch[[#This Row],[Key]] &amp; "", "")</f>
        <v>Wounded Warrior--GC-approved  /  Space Force</v>
      </c>
      <c r="H16" s="17" t="s">
        <v>299</v>
      </c>
      <c r="I16" s="17">
        <f>--ISNUMBER(IFERROR(SEARCH('Calculation Worksheet'!$AV$6, StatusBranch[[#This Row],[Sponsor]], 1), ""))</f>
        <v>1</v>
      </c>
      <c r="J16" s="17">
        <f>IF(StatusBranch[[#This Row],[S1]] = 1, COUNTIF($I$3:I16, 1), "")</f>
        <v>12</v>
      </c>
      <c r="K16" s="17" t="str">
        <f>IFERROR(INDEX(StatusBranch[Branch], MATCH(ROWS($J$3:J16), StatusBranch[S2], 0)), "") &amp; ""</f>
        <v>Army</v>
      </c>
      <c r="L16" s="17">
        <f>--ISNUMBER(IFERROR(SEARCH('Calculation Worksheet'!$CG$6, StatusBranch[[#This Row],[Spouse]], 1), ""))</f>
        <v>1</v>
      </c>
      <c r="M16" s="17">
        <f>IF(StatusBranch[[#This Row],[T1]] = 1, COUNTIF($L$3:L16, 1), "")</f>
        <v>13</v>
      </c>
      <c r="N16" s="17" t="str">
        <f>IFERROR(INDEX(StatusBranch[Branch], MATCH(ROWS($M$3:M16), StatusBranch[T2], 0)), "") &amp; ""</f>
        <v>Air Force</v>
      </c>
    </row>
    <row r="17" spans="1:14" x14ac:dyDescent="0.25">
      <c r="A17">
        <v>5</v>
      </c>
      <c r="B17" t="s">
        <v>216</v>
      </c>
      <c r="C17" t="s">
        <v>183</v>
      </c>
      <c r="D17" s="17" t="str">
        <f>SUBSTITUTE(SUBSTITUTE(SUBSTITUTE(StatusBranch[[#This Row],[Status]] &amp; "  /  " &amp; StatusBranch[[#This Row],[Branch]] &amp; ";", "  /  ;", ";"), "  /  ;", ";"), ";", "")</f>
        <v>Active Duty  /  Air Force</v>
      </c>
      <c r="E17">
        <v>12</v>
      </c>
      <c r="F17" s="17" t="str">
        <f>IF(LEFT(StatusBranch[[#This Row],[Which]], 1) = "1", StatusBranch[[#This Row],[Key]] &amp; "", "")</f>
        <v>Active Duty  /  Air Force</v>
      </c>
      <c r="G17" s="17" t="str">
        <f>IF(RIGHT(StatusBranch[[#This Row],[Which]], 1) = "2", StatusBranch[[#This Row],[Key]] &amp; "", "")</f>
        <v>Active Duty  /  Air Force</v>
      </c>
      <c r="H17" s="17" t="s">
        <v>296</v>
      </c>
      <c r="I17" s="17">
        <f>--ISNUMBER(IFERROR(SEARCH('Calculation Worksheet'!$AV$6, StatusBranch[[#This Row],[Sponsor]], 1), ""))</f>
        <v>1</v>
      </c>
      <c r="J17" s="17">
        <f>IF(StatusBranch[[#This Row],[S1]] = 1, COUNTIF($I$3:I17, 1), "")</f>
        <v>13</v>
      </c>
      <c r="K17" s="17" t="str">
        <f>IFERROR(INDEX(StatusBranch[Branch], MATCH(ROWS($J$3:J17), StatusBranch[S2], 0)), "") &amp; ""</f>
        <v>Coast Guard</v>
      </c>
      <c r="L17" s="17">
        <f>--ISNUMBER(IFERROR(SEARCH('Calculation Worksheet'!$CG$6, StatusBranch[[#This Row],[Spouse]], 1), ""))</f>
        <v>1</v>
      </c>
      <c r="M17" s="17">
        <f>IF(StatusBranch[[#This Row],[T1]] = 1, COUNTIF($L$3:L17, 1), "")</f>
        <v>14</v>
      </c>
      <c r="N17" s="17" t="str">
        <f>IFERROR(INDEX(StatusBranch[Branch], MATCH(ROWS($M$3:M17), StatusBranch[T2], 0)), "") &amp; ""</f>
        <v>Army</v>
      </c>
    </row>
    <row r="18" spans="1:14" x14ac:dyDescent="0.25">
      <c r="A18">
        <v>5</v>
      </c>
      <c r="B18" t="s">
        <v>216</v>
      </c>
      <c r="C18" t="s">
        <v>180</v>
      </c>
      <c r="D18" s="17" t="str">
        <f>SUBSTITUTE(SUBSTITUTE(SUBSTITUTE(StatusBranch[[#This Row],[Status]] &amp; "  /  " &amp; StatusBranch[[#This Row],[Branch]] &amp; ";", "  /  ;", ";"), "  /  ;", ";"), ";", "")</f>
        <v>Active Duty  /  Army</v>
      </c>
      <c r="E18">
        <v>12</v>
      </c>
      <c r="F18" s="17" t="str">
        <f>IF(LEFT(StatusBranch[[#This Row],[Which]], 1) = "1", StatusBranch[[#This Row],[Key]] &amp; "", "")</f>
        <v>Active Duty  /  Army</v>
      </c>
      <c r="G18" s="17" t="str">
        <f>IF(RIGHT(StatusBranch[[#This Row],[Which]], 1) = "2", StatusBranch[[#This Row],[Key]] &amp; "", "")</f>
        <v>Active Duty  /  Army</v>
      </c>
      <c r="H18" s="17" t="s">
        <v>296</v>
      </c>
      <c r="I18" s="17">
        <f>--ISNUMBER(IFERROR(SEARCH('Calculation Worksheet'!$AV$6, StatusBranch[[#This Row],[Sponsor]], 1), ""))</f>
        <v>1</v>
      </c>
      <c r="J18" s="17">
        <f>IF(StatusBranch[[#This Row],[S1]] = 1, COUNTIF($I$3:I18, 1), "")</f>
        <v>14</v>
      </c>
      <c r="K18" s="17" t="str">
        <f>IFERROR(INDEX(StatusBranch[Branch], MATCH(ROWS($J$3:J18), StatusBranch[S2], 0)), "") &amp; ""</f>
        <v>Marines</v>
      </c>
      <c r="L18" s="17">
        <f>--ISNUMBER(IFERROR(SEARCH('Calculation Worksheet'!$CG$6, StatusBranch[[#This Row],[Spouse]], 1), ""))</f>
        <v>1</v>
      </c>
      <c r="M18" s="17">
        <f>IF(StatusBranch[[#This Row],[T1]] = 1, COUNTIF($L$3:L18, 1), "")</f>
        <v>15</v>
      </c>
      <c r="N18" s="17" t="str">
        <f>IFERROR(INDEX(StatusBranch[Branch], MATCH(ROWS($M$3:M18), StatusBranch[T2], 0)), "") &amp; ""</f>
        <v>Coast Guard</v>
      </c>
    </row>
    <row r="19" spans="1:14" x14ac:dyDescent="0.25">
      <c r="A19">
        <v>5</v>
      </c>
      <c r="B19" t="s">
        <v>216</v>
      </c>
      <c r="C19" t="s">
        <v>184</v>
      </c>
      <c r="D19" s="17" t="str">
        <f>SUBSTITUTE(SUBSTITUTE(SUBSTITUTE(StatusBranch[[#This Row],[Status]] &amp; "  /  " &amp; StatusBranch[[#This Row],[Branch]] &amp; ";", "  /  ;", ";"), "  /  ;", ";"), ";", "")</f>
        <v>Active Duty  /  Coast Guard</v>
      </c>
      <c r="E19">
        <v>12</v>
      </c>
      <c r="F19" s="17" t="str">
        <f>IF(LEFT(StatusBranch[[#This Row],[Which]], 1) = "1", StatusBranch[[#This Row],[Key]] &amp; "", "")</f>
        <v>Active Duty  /  Coast Guard</v>
      </c>
      <c r="G19" s="17" t="str">
        <f>IF(RIGHT(StatusBranch[[#This Row],[Which]], 1) = "2", StatusBranch[[#This Row],[Key]] &amp; "", "")</f>
        <v>Active Duty  /  Coast Guard</v>
      </c>
      <c r="H19" s="17" t="s">
        <v>296</v>
      </c>
      <c r="I19" s="17">
        <f>--ISNUMBER(IFERROR(SEARCH('Calculation Worksheet'!$AV$6, StatusBranch[[#This Row],[Sponsor]], 1), ""))</f>
        <v>1</v>
      </c>
      <c r="J19" s="17">
        <f>IF(StatusBranch[[#This Row],[S1]] = 1, COUNTIF($I$3:I19, 1), "")</f>
        <v>15</v>
      </c>
      <c r="K19" s="17" t="str">
        <f>IFERROR(INDEX(StatusBranch[Branch], MATCH(ROWS($J$3:J19), StatusBranch[S2], 0)), "") &amp; ""</f>
        <v>Navy</v>
      </c>
      <c r="L19" s="17">
        <f>--ISNUMBER(IFERROR(SEARCH('Calculation Worksheet'!$CG$6, StatusBranch[[#This Row],[Spouse]], 1), ""))</f>
        <v>1</v>
      </c>
      <c r="M19" s="17">
        <f>IF(StatusBranch[[#This Row],[T1]] = 1, COUNTIF($L$3:L19, 1), "")</f>
        <v>16</v>
      </c>
      <c r="N19" s="17" t="str">
        <f>IFERROR(INDEX(StatusBranch[Branch], MATCH(ROWS($M$3:M19), StatusBranch[T2], 0)), "") &amp; ""</f>
        <v>Marines</v>
      </c>
    </row>
    <row r="20" spans="1:14" x14ac:dyDescent="0.25">
      <c r="A20">
        <v>5</v>
      </c>
      <c r="B20" t="s">
        <v>216</v>
      </c>
      <c r="C20" t="s">
        <v>181</v>
      </c>
      <c r="D20" s="17" t="str">
        <f>SUBSTITUTE(SUBSTITUTE(SUBSTITUTE(StatusBranch[[#This Row],[Status]] &amp; "  /  " &amp; StatusBranch[[#This Row],[Branch]] &amp; ";", "  /  ;", ";"), "  /  ;", ";"), ";", "")</f>
        <v>Active Duty  /  Marines</v>
      </c>
      <c r="E20">
        <v>12</v>
      </c>
      <c r="F20" s="17" t="str">
        <f>IF(LEFT(StatusBranch[[#This Row],[Which]], 1) = "1", StatusBranch[[#This Row],[Key]] &amp; "", "")</f>
        <v>Active Duty  /  Marines</v>
      </c>
      <c r="G20" s="17" t="str">
        <f>IF(RIGHT(StatusBranch[[#This Row],[Which]], 1) = "2", StatusBranch[[#This Row],[Key]] &amp; "", "")</f>
        <v>Active Duty  /  Marines</v>
      </c>
      <c r="H20" s="17" t="s">
        <v>296</v>
      </c>
      <c r="I20" s="17">
        <f>--ISNUMBER(IFERROR(SEARCH('Calculation Worksheet'!$AV$6, StatusBranch[[#This Row],[Sponsor]], 1), ""))</f>
        <v>1</v>
      </c>
      <c r="J20" s="17">
        <f>IF(StatusBranch[[#This Row],[S1]] = 1, COUNTIF($I$3:I20, 1), "")</f>
        <v>16</v>
      </c>
      <c r="K20" s="17" t="str">
        <f>IFERROR(INDEX(StatusBranch[Branch], MATCH(ROWS($J$3:J20), StatusBranch[S2], 0)), "") &amp; ""</f>
        <v>Space Force</v>
      </c>
      <c r="L20" s="17">
        <f>--ISNUMBER(IFERROR(SEARCH('Calculation Worksheet'!$CG$6, StatusBranch[[#This Row],[Spouse]], 1), ""))</f>
        <v>1</v>
      </c>
      <c r="M20" s="17">
        <f>IF(StatusBranch[[#This Row],[T1]] = 1, COUNTIF($L$3:L20, 1), "")</f>
        <v>17</v>
      </c>
      <c r="N20" s="17" t="str">
        <f>IFERROR(INDEX(StatusBranch[Branch], MATCH(ROWS($M$3:M20), StatusBranch[T2], 0)), "") &amp; ""</f>
        <v>Navy</v>
      </c>
    </row>
    <row r="21" spans="1:14" x14ac:dyDescent="0.25">
      <c r="A21">
        <v>5</v>
      </c>
      <c r="B21" t="s">
        <v>216</v>
      </c>
      <c r="C21" t="s">
        <v>182</v>
      </c>
      <c r="D21" s="17" t="str">
        <f>SUBSTITUTE(SUBSTITUTE(SUBSTITUTE(StatusBranch[[#This Row],[Status]] &amp; "  /  " &amp; StatusBranch[[#This Row],[Branch]] &amp; ";", "  /  ;", ";"), "  /  ;", ";"), ";", "")</f>
        <v>Active Duty  /  Navy</v>
      </c>
      <c r="E21">
        <v>12</v>
      </c>
      <c r="F21" s="17" t="str">
        <f>IF(LEFT(StatusBranch[[#This Row],[Which]], 1) = "1", StatusBranch[[#This Row],[Key]] &amp; "", "")</f>
        <v>Active Duty  /  Navy</v>
      </c>
      <c r="G21" s="17" t="str">
        <f>IF(RIGHT(StatusBranch[[#This Row],[Which]], 1) = "2", StatusBranch[[#This Row],[Key]] &amp; "", "")</f>
        <v>Active Duty  /  Navy</v>
      </c>
      <c r="H21" s="17" t="s">
        <v>296</v>
      </c>
      <c r="I21" s="17">
        <f>--ISNUMBER(IFERROR(SEARCH('Calculation Worksheet'!$AV$6, StatusBranch[[#This Row],[Sponsor]], 1), ""))</f>
        <v>1</v>
      </c>
      <c r="J21" s="17">
        <f>IF(StatusBranch[[#This Row],[S1]] = 1, COUNTIF($I$3:I21, 1), "")</f>
        <v>17</v>
      </c>
      <c r="K21" s="17" t="str">
        <f>IFERROR(INDEX(StatusBranch[Branch], MATCH(ROWS($J$3:J21), StatusBranch[S2], 0)), "") &amp; ""</f>
        <v>Air Force</v>
      </c>
      <c r="L21" s="17">
        <f>--ISNUMBER(IFERROR(SEARCH('Calculation Worksheet'!$CG$6, StatusBranch[[#This Row],[Spouse]], 1), ""))</f>
        <v>1</v>
      </c>
      <c r="M21" s="17">
        <f>IF(StatusBranch[[#This Row],[T1]] = 1, COUNTIF($L$3:L21, 1), "")</f>
        <v>18</v>
      </c>
      <c r="N21" s="17" t="str">
        <f>IFERROR(INDEX(StatusBranch[Branch], MATCH(ROWS($M$3:M21), StatusBranch[T2], 0)), "") &amp; ""</f>
        <v>Space Force</v>
      </c>
    </row>
    <row r="22" spans="1:14" x14ac:dyDescent="0.25">
      <c r="A22">
        <v>5</v>
      </c>
      <c r="B22" t="s">
        <v>216</v>
      </c>
      <c r="C22" t="s">
        <v>185</v>
      </c>
      <c r="D22" s="17" t="str">
        <f>SUBSTITUTE(SUBSTITUTE(SUBSTITUTE(StatusBranch[[#This Row],[Status]] &amp; "  /  " &amp; StatusBranch[[#This Row],[Branch]] &amp; ";", "  /  ;", ";"), "  /  ;", ";"), ";", "")</f>
        <v>Active Duty  /  Space Force</v>
      </c>
      <c r="E22">
        <v>12</v>
      </c>
      <c r="F22" s="17" t="str">
        <f>IF(LEFT(StatusBranch[[#This Row],[Which]], 1) = "1", StatusBranch[[#This Row],[Key]] &amp; "", "")</f>
        <v>Active Duty  /  Space Force</v>
      </c>
      <c r="G22" s="17" t="str">
        <f>IF(RIGHT(StatusBranch[[#This Row],[Which]], 1) = "2", StatusBranch[[#This Row],[Key]] &amp; "", "")</f>
        <v>Active Duty  /  Space Force</v>
      </c>
      <c r="H22" s="17" t="s">
        <v>296</v>
      </c>
      <c r="I22" s="17">
        <f>--ISNUMBER(IFERROR(SEARCH('Calculation Worksheet'!$AV$6, StatusBranch[[#This Row],[Sponsor]], 1), ""))</f>
        <v>1</v>
      </c>
      <c r="J22" s="17">
        <f>IF(StatusBranch[[#This Row],[S1]] = 1, COUNTIF($I$3:I22, 1), "")</f>
        <v>18</v>
      </c>
      <c r="K22" s="17" t="str">
        <f>IFERROR(INDEX(StatusBranch[Branch], MATCH(ROWS($J$3:J22), StatusBranch[S2], 0)), "") &amp; ""</f>
        <v>Army</v>
      </c>
      <c r="L22" s="17">
        <f>--ISNUMBER(IFERROR(SEARCH('Calculation Worksheet'!$CG$6, StatusBranch[[#This Row],[Spouse]], 1), ""))</f>
        <v>1</v>
      </c>
      <c r="M22" s="17">
        <f>IF(StatusBranch[[#This Row],[T1]] = 1, COUNTIF($L$3:L22, 1), "")</f>
        <v>19</v>
      </c>
      <c r="N22" s="17" t="str">
        <f>IFERROR(INDEX(StatusBranch[Branch], MATCH(ROWS($M$3:M22), StatusBranch[T2], 0)), "") &amp; ""</f>
        <v>Air Force</v>
      </c>
    </row>
    <row r="23" spans="1:14" x14ac:dyDescent="0.25">
      <c r="A23">
        <v>6</v>
      </c>
      <c r="B23" t="s">
        <v>390</v>
      </c>
      <c r="C23" t="s">
        <v>183</v>
      </c>
      <c r="D23" s="17" t="str">
        <f>SUBSTITUTE(SUBSTITUTE(SUBSTITUTE(StatusBranch[[#This Row],[Status]] &amp; "  /  " &amp; StatusBranch[[#This Row],[Branch]] &amp; ";", "  /  ;", ";"), "  /  ;", ";"), ";", "")</f>
        <v>Full-time Nat'l Guard  /  Air Force</v>
      </c>
      <c r="E23">
        <v>12</v>
      </c>
      <c r="F23" s="17" t="str">
        <f>IF(LEFT(StatusBranch[[#This Row],[Which]], 1) = "1", StatusBranch[[#This Row],[Key]] &amp; "", "")</f>
        <v>Full-time Nat'l Guard  /  Air Force</v>
      </c>
      <c r="G23" s="17" t="str">
        <f>IF(RIGHT(StatusBranch[[#This Row],[Which]], 1) = "2", StatusBranch[[#This Row],[Key]] &amp; "", "")</f>
        <v>Full-time Nat'l Guard  /  Air Force</v>
      </c>
      <c r="H23" s="17" t="s">
        <v>301</v>
      </c>
      <c r="I23" s="17">
        <f>--ISNUMBER(IFERROR(SEARCH('Calculation Worksheet'!$AV$6, StatusBranch[[#This Row],[Sponsor]], 1), ""))</f>
        <v>1</v>
      </c>
      <c r="J23" s="17">
        <f>IF(StatusBranch[[#This Row],[S1]] = 1, COUNTIF($I$3:I23, 1), "")</f>
        <v>19</v>
      </c>
      <c r="K23" s="17" t="str">
        <f>IFERROR(INDEX(StatusBranch[Branch], MATCH(ROWS($J$3:J23), StatusBranch[S2], 0)), "") &amp; ""</f>
        <v>Marines</v>
      </c>
      <c r="L23" s="17">
        <f>--ISNUMBER(IFERROR(SEARCH('Calculation Worksheet'!$CG$6, StatusBranch[[#This Row],[Spouse]], 1), ""))</f>
        <v>1</v>
      </c>
      <c r="M23" s="17">
        <f>IF(StatusBranch[[#This Row],[T1]] = 1, COUNTIF($L$3:L23, 1), "")</f>
        <v>20</v>
      </c>
      <c r="N23" s="17" t="str">
        <f>IFERROR(INDEX(StatusBranch[Branch], MATCH(ROWS($M$3:M23), StatusBranch[T2], 0)), "") &amp; ""</f>
        <v>Army</v>
      </c>
    </row>
    <row r="24" spans="1:14" x14ac:dyDescent="0.25">
      <c r="A24">
        <v>6</v>
      </c>
      <c r="B24" t="s">
        <v>390</v>
      </c>
      <c r="C24" t="s">
        <v>180</v>
      </c>
      <c r="D24" s="17" t="str">
        <f>SUBSTITUTE(SUBSTITUTE(SUBSTITUTE(StatusBranch[[#This Row],[Status]] &amp; "  /  " &amp; StatusBranch[[#This Row],[Branch]] &amp; ";", "  /  ;", ";"), "  /  ;", ";"), ";", "")</f>
        <v>Full-time Nat'l Guard  /  Army</v>
      </c>
      <c r="E24">
        <v>12</v>
      </c>
      <c r="F24" s="17" t="str">
        <f>IF(LEFT(StatusBranch[[#This Row],[Which]], 1) = "1", StatusBranch[[#This Row],[Key]] &amp; "", "")</f>
        <v>Full-time Nat'l Guard  /  Army</v>
      </c>
      <c r="G24" s="17" t="str">
        <f>IF(RIGHT(StatusBranch[[#This Row],[Which]], 1) = "2", StatusBranch[[#This Row],[Key]] &amp; "", "")</f>
        <v>Full-time Nat'l Guard  /  Army</v>
      </c>
      <c r="H24" s="17" t="s">
        <v>301</v>
      </c>
      <c r="I24" s="17">
        <f>--ISNUMBER(IFERROR(SEARCH('Calculation Worksheet'!$AV$6, StatusBranch[[#This Row],[Sponsor]], 1), ""))</f>
        <v>1</v>
      </c>
      <c r="J24" s="17">
        <f>IF(StatusBranch[[#This Row],[S1]] = 1, COUNTIF($I$3:I24, 1), "")</f>
        <v>20</v>
      </c>
      <c r="K24" s="17" t="str">
        <f>IFERROR(INDEX(StatusBranch[Branch], MATCH(ROWS($J$3:J24), StatusBranch[S2], 0)), "") &amp; ""</f>
        <v>Navy</v>
      </c>
      <c r="L24" s="17">
        <f>--ISNUMBER(IFERROR(SEARCH('Calculation Worksheet'!$CG$6, StatusBranch[[#This Row],[Spouse]], 1), ""))</f>
        <v>1</v>
      </c>
      <c r="M24" s="17">
        <f>IF(StatusBranch[[#This Row],[T1]] = 1, COUNTIF($L$3:L24, 1), "")</f>
        <v>21</v>
      </c>
      <c r="N24" s="17" t="str">
        <f>IFERROR(INDEX(StatusBranch[Branch], MATCH(ROWS($M$3:M24), StatusBranch[T2], 0)), "") &amp; ""</f>
        <v>Marines</v>
      </c>
    </row>
    <row r="25" spans="1:14" x14ac:dyDescent="0.25">
      <c r="A25">
        <v>6</v>
      </c>
      <c r="B25" t="s">
        <v>390</v>
      </c>
      <c r="C25" t="s">
        <v>181</v>
      </c>
      <c r="D25" s="17" t="str">
        <f>SUBSTITUTE(SUBSTITUTE(SUBSTITUTE(StatusBranch[[#This Row],[Status]] &amp; "  /  " &amp; StatusBranch[[#This Row],[Branch]] &amp; ";", "  /  ;", ";"), "  /  ;", ";"), ";", "")</f>
        <v>Full-time Nat'l Guard  /  Marines</v>
      </c>
      <c r="E25">
        <v>12</v>
      </c>
      <c r="F25" s="17" t="str">
        <f>IF(LEFT(StatusBranch[[#This Row],[Which]], 1) = "1", StatusBranch[[#This Row],[Key]] &amp; "", "")</f>
        <v>Full-time Nat'l Guard  /  Marines</v>
      </c>
      <c r="G25" s="17" t="str">
        <f>IF(RIGHT(StatusBranch[[#This Row],[Which]], 1) = "2", StatusBranch[[#This Row],[Key]] &amp; "", "")</f>
        <v>Full-time Nat'l Guard  /  Marines</v>
      </c>
      <c r="H25" s="17" t="s">
        <v>301</v>
      </c>
      <c r="I25" s="17">
        <f>--ISNUMBER(IFERROR(SEARCH('Calculation Worksheet'!$AV$6, StatusBranch[[#This Row],[Sponsor]], 1), ""))</f>
        <v>1</v>
      </c>
      <c r="J25" s="17">
        <f>IF(StatusBranch[[#This Row],[S1]] = 1, COUNTIF($I$3:I25, 1), "")</f>
        <v>21</v>
      </c>
      <c r="K25" s="17" t="str">
        <f>IFERROR(INDEX(StatusBranch[Branch], MATCH(ROWS($J$3:J25), StatusBranch[S2], 0)), "") &amp; ""</f>
        <v>Air Force</v>
      </c>
      <c r="L25" s="17">
        <f>--ISNUMBER(IFERROR(SEARCH('Calculation Worksheet'!$CG$6, StatusBranch[[#This Row],[Spouse]], 1), ""))</f>
        <v>1</v>
      </c>
      <c r="M25" s="17">
        <f>IF(StatusBranch[[#This Row],[T1]] = 1, COUNTIF($L$3:L25, 1), "")</f>
        <v>22</v>
      </c>
      <c r="N25" s="17" t="str">
        <f>IFERROR(INDEX(StatusBranch[Branch], MATCH(ROWS($M$3:M25), StatusBranch[T2], 0)), "") &amp; ""</f>
        <v>Navy</v>
      </c>
    </row>
    <row r="26" spans="1:14" x14ac:dyDescent="0.25">
      <c r="A26">
        <v>6</v>
      </c>
      <c r="B26" t="s">
        <v>390</v>
      </c>
      <c r="C26" t="s">
        <v>182</v>
      </c>
      <c r="D26" s="17" t="str">
        <f>SUBSTITUTE(SUBSTITUTE(SUBSTITUTE(StatusBranch[[#This Row],[Status]] &amp; "  /  " &amp; StatusBranch[[#This Row],[Branch]] &amp; ";", "  /  ;", ";"), "  /  ;", ";"), ";", "")</f>
        <v>Full-time Nat'l Guard  /  Navy</v>
      </c>
      <c r="E26">
        <v>12</v>
      </c>
      <c r="F26" s="17" t="str">
        <f>IF(LEFT(StatusBranch[[#This Row],[Which]], 1) = "1", StatusBranch[[#This Row],[Key]] &amp; "", "")</f>
        <v>Full-time Nat'l Guard  /  Navy</v>
      </c>
      <c r="G26" s="17" t="str">
        <f>IF(RIGHT(StatusBranch[[#This Row],[Which]], 1) = "2", StatusBranch[[#This Row],[Key]] &amp; "", "")</f>
        <v>Full-time Nat'l Guard  /  Navy</v>
      </c>
      <c r="H26" s="17" t="s">
        <v>301</v>
      </c>
      <c r="I26" s="17">
        <f>--ISNUMBER(IFERROR(SEARCH('Calculation Worksheet'!$AV$6, StatusBranch[[#This Row],[Sponsor]], 1), ""))</f>
        <v>1</v>
      </c>
      <c r="J26" s="17">
        <f>IF(StatusBranch[[#This Row],[S1]] = 1, COUNTIF($I$3:I26, 1), "")</f>
        <v>22</v>
      </c>
      <c r="K26" s="17" t="str">
        <f>IFERROR(INDEX(StatusBranch[Branch], MATCH(ROWS($J$3:J26), StatusBranch[S2], 0)), "") &amp; ""</f>
        <v>Army</v>
      </c>
      <c r="L26" s="17">
        <f>--ISNUMBER(IFERROR(SEARCH('Calculation Worksheet'!$CG$6, StatusBranch[[#This Row],[Spouse]], 1), ""))</f>
        <v>1</v>
      </c>
      <c r="M26" s="17">
        <f>IF(StatusBranch[[#This Row],[T1]] = 1, COUNTIF($L$3:L26, 1), "")</f>
        <v>23</v>
      </c>
      <c r="N26" s="17" t="str">
        <f>IFERROR(INDEX(StatusBranch[Branch], MATCH(ROWS($M$3:M26), StatusBranch[T2], 0)), "") &amp; ""</f>
        <v>Air Force</v>
      </c>
    </row>
    <row r="27" spans="1:14" x14ac:dyDescent="0.25">
      <c r="A27">
        <v>6</v>
      </c>
      <c r="B27" t="s">
        <v>218</v>
      </c>
      <c r="C27" t="s">
        <v>183</v>
      </c>
      <c r="D27" s="17" t="str">
        <f>SUBSTITUTE(SUBSTITUTE(SUBSTITUTE(StatusBranch[[#This Row],[Status]] &amp; "  /  " &amp; StatusBranch[[#This Row],[Branch]] &amp; ";", "  /  ;", ";"), "  /  ;", ";"), ";", "")</f>
        <v>Full-time Reserve  /  Air Force</v>
      </c>
      <c r="E27">
        <v>12</v>
      </c>
      <c r="F27" s="17" t="str">
        <f>IF(LEFT(StatusBranch[[#This Row],[Which]], 1) = "1", StatusBranch[[#This Row],[Key]] &amp; "", "")</f>
        <v>Full-time Reserve  /  Air Force</v>
      </c>
      <c r="G27" s="17" t="str">
        <f>IF(RIGHT(StatusBranch[[#This Row],[Which]], 1) = "2", StatusBranch[[#This Row],[Key]] &amp; "", "")</f>
        <v>Full-time Reserve  /  Air Force</v>
      </c>
      <c r="H27" s="17" t="s">
        <v>301</v>
      </c>
      <c r="I27" s="17">
        <f>--ISNUMBER(IFERROR(SEARCH('Calculation Worksheet'!$AV$6, StatusBranch[[#This Row],[Sponsor]], 1), ""))</f>
        <v>1</v>
      </c>
      <c r="J27" s="17">
        <f>IF(StatusBranch[[#This Row],[S1]] = 1, COUNTIF($I$3:I27, 1), "")</f>
        <v>23</v>
      </c>
      <c r="K27" s="17" t="str">
        <f>IFERROR(INDEX(StatusBranch[Branch], MATCH(ROWS($J$3:J27), StatusBranch[S2], 0)), "") &amp; ""</f>
        <v>Marines</v>
      </c>
      <c r="L27" s="17">
        <f>--ISNUMBER(IFERROR(SEARCH('Calculation Worksheet'!$CG$6, StatusBranch[[#This Row],[Spouse]], 1), ""))</f>
        <v>1</v>
      </c>
      <c r="M27" s="17">
        <f>IF(StatusBranch[[#This Row],[T1]] = 1, COUNTIF($L$3:L27, 1), "")</f>
        <v>24</v>
      </c>
      <c r="N27" s="17" t="str">
        <f>IFERROR(INDEX(StatusBranch[Branch], MATCH(ROWS($M$3:M27), StatusBranch[T2], 0)), "") &amp; ""</f>
        <v>Army</v>
      </c>
    </row>
    <row r="28" spans="1:14" x14ac:dyDescent="0.25">
      <c r="A28">
        <v>6</v>
      </c>
      <c r="B28" t="s">
        <v>218</v>
      </c>
      <c r="C28" t="s">
        <v>180</v>
      </c>
      <c r="D28" s="17" t="str">
        <f>SUBSTITUTE(SUBSTITUTE(SUBSTITUTE(StatusBranch[[#This Row],[Status]] &amp; "  /  " &amp; StatusBranch[[#This Row],[Branch]] &amp; ";", "  /  ;", ";"), "  /  ;", ";"), ";", "")</f>
        <v>Full-time Reserve  /  Army</v>
      </c>
      <c r="E28">
        <v>12</v>
      </c>
      <c r="F28" s="17" t="str">
        <f>IF(LEFT(StatusBranch[[#This Row],[Which]], 1) = "1", StatusBranch[[#This Row],[Key]] &amp; "", "")</f>
        <v>Full-time Reserve  /  Army</v>
      </c>
      <c r="G28" s="17" t="str">
        <f>IF(RIGHT(StatusBranch[[#This Row],[Which]], 1) = "2", StatusBranch[[#This Row],[Key]] &amp; "", "")</f>
        <v>Full-time Reserve  /  Army</v>
      </c>
      <c r="H28" s="17" t="s">
        <v>301</v>
      </c>
      <c r="I28" s="17">
        <f>--ISNUMBER(IFERROR(SEARCH('Calculation Worksheet'!$AV$6, StatusBranch[[#This Row],[Sponsor]], 1), ""))</f>
        <v>1</v>
      </c>
      <c r="J28" s="17">
        <f>IF(StatusBranch[[#This Row],[S1]] = 1, COUNTIF($I$3:I28, 1), "")</f>
        <v>24</v>
      </c>
      <c r="K28" s="17" t="str">
        <f>IFERROR(INDEX(StatusBranch[Branch], MATCH(ROWS($J$3:J28), StatusBranch[S2], 0)), "") &amp; ""</f>
        <v>Navy</v>
      </c>
      <c r="L28" s="17">
        <f>--ISNUMBER(IFERROR(SEARCH('Calculation Worksheet'!$CG$6, StatusBranch[[#This Row],[Spouse]], 1), ""))</f>
        <v>1</v>
      </c>
      <c r="M28" s="17">
        <f>IF(StatusBranch[[#This Row],[T1]] = 1, COUNTIF($L$3:L28, 1), "")</f>
        <v>25</v>
      </c>
      <c r="N28" s="17" t="str">
        <f>IFERROR(INDEX(StatusBranch[Branch], MATCH(ROWS($M$3:M28), StatusBranch[T2], 0)), "") &amp; ""</f>
        <v>Marines</v>
      </c>
    </row>
    <row r="29" spans="1:14" x14ac:dyDescent="0.25">
      <c r="A29">
        <v>6</v>
      </c>
      <c r="B29" t="s">
        <v>218</v>
      </c>
      <c r="C29" t="s">
        <v>181</v>
      </c>
      <c r="D29" s="17" t="str">
        <f>SUBSTITUTE(SUBSTITUTE(SUBSTITUTE(StatusBranch[[#This Row],[Status]] &amp; "  /  " &amp; StatusBranch[[#This Row],[Branch]] &amp; ";", "  /  ;", ";"), "  /  ;", ";"), ";", "")</f>
        <v>Full-time Reserve  /  Marines</v>
      </c>
      <c r="E29">
        <v>12</v>
      </c>
      <c r="F29" s="17" t="str">
        <f>IF(LEFT(StatusBranch[[#This Row],[Which]], 1) = "1", StatusBranch[[#This Row],[Key]] &amp; "", "")</f>
        <v>Full-time Reserve  /  Marines</v>
      </c>
      <c r="G29" s="17" t="str">
        <f>IF(RIGHT(StatusBranch[[#This Row],[Which]], 1) = "2", StatusBranch[[#This Row],[Key]] &amp; "", "")</f>
        <v>Full-time Reserve  /  Marines</v>
      </c>
      <c r="H29" s="17" t="s">
        <v>301</v>
      </c>
      <c r="I29" s="17">
        <f>--ISNUMBER(IFERROR(SEARCH('Calculation Worksheet'!$AV$6, StatusBranch[[#This Row],[Sponsor]], 1), ""))</f>
        <v>1</v>
      </c>
      <c r="J29" s="17">
        <f>IF(StatusBranch[[#This Row],[S1]] = 1, COUNTIF($I$3:I29, 1), "")</f>
        <v>25</v>
      </c>
      <c r="K29" s="17" t="str">
        <f>IFERROR(INDEX(StatusBranch[Branch], MATCH(ROWS($J$3:J29), StatusBranch[S2], 0)), "") &amp; ""</f>
        <v>Air Force</v>
      </c>
      <c r="L29" s="17">
        <f>--ISNUMBER(IFERROR(SEARCH('Calculation Worksheet'!$CG$6, StatusBranch[[#This Row],[Spouse]], 1), ""))</f>
        <v>1</v>
      </c>
      <c r="M29" s="17">
        <f>IF(StatusBranch[[#This Row],[T1]] = 1, COUNTIF($L$3:L29, 1), "")</f>
        <v>26</v>
      </c>
      <c r="N29" s="17" t="str">
        <f>IFERROR(INDEX(StatusBranch[Branch], MATCH(ROWS($M$3:M29), StatusBranch[T2], 0)), "") &amp; ""</f>
        <v>Navy</v>
      </c>
    </row>
    <row r="30" spans="1:14" x14ac:dyDescent="0.25">
      <c r="A30">
        <v>6</v>
      </c>
      <c r="B30" t="s">
        <v>218</v>
      </c>
      <c r="C30" t="s">
        <v>182</v>
      </c>
      <c r="D30" s="17" t="str">
        <f>SUBSTITUTE(SUBSTITUTE(SUBSTITUTE(StatusBranch[[#This Row],[Status]] &amp; "  /  " &amp; StatusBranch[[#This Row],[Branch]] &amp; ";", "  /  ;", ";"), "  /  ;", ";"), ";", "")</f>
        <v>Full-time Reserve  /  Navy</v>
      </c>
      <c r="E30">
        <v>12</v>
      </c>
      <c r="F30" s="17" t="str">
        <f>IF(LEFT(StatusBranch[[#This Row],[Which]], 1) = "1", StatusBranch[[#This Row],[Key]] &amp; "", "")</f>
        <v>Full-time Reserve  /  Navy</v>
      </c>
      <c r="G30" s="17" t="str">
        <f>IF(RIGHT(StatusBranch[[#This Row],[Which]], 1) = "2", StatusBranch[[#This Row],[Key]] &amp; "", "")</f>
        <v>Full-time Reserve  /  Navy</v>
      </c>
      <c r="H30" s="17" t="s">
        <v>301</v>
      </c>
      <c r="I30" s="17">
        <f>--ISNUMBER(IFERROR(SEARCH('Calculation Worksheet'!$AV$6, StatusBranch[[#This Row],[Sponsor]], 1), ""))</f>
        <v>1</v>
      </c>
      <c r="J30" s="17">
        <f>IF(StatusBranch[[#This Row],[S1]] = 1, COUNTIF($I$3:I30, 1), "")</f>
        <v>26</v>
      </c>
      <c r="K30" s="17" t="str">
        <f>IFERROR(INDEX(StatusBranch[Branch], MATCH(ROWS($J$3:J30), StatusBranch[S2], 0)), "") &amp; ""</f>
        <v>Army</v>
      </c>
      <c r="L30" s="17">
        <f>--ISNUMBER(IFERROR(SEARCH('Calculation Worksheet'!$CG$6, StatusBranch[[#This Row],[Spouse]], 1), ""))</f>
        <v>1</v>
      </c>
      <c r="M30" s="17">
        <f>IF(StatusBranch[[#This Row],[T1]] = 1, COUNTIF($L$3:L30, 1), "")</f>
        <v>27</v>
      </c>
      <c r="N30" s="17" t="str">
        <f>IFERROR(INDEX(StatusBranch[Branch], MATCH(ROWS($M$3:M30), StatusBranch[T2], 0)), "") &amp; ""</f>
        <v>Air Force</v>
      </c>
    </row>
    <row r="31" spans="1:14" x14ac:dyDescent="0.25">
      <c r="A31">
        <v>7</v>
      </c>
      <c r="B31" t="s">
        <v>20</v>
      </c>
      <c r="C31" t="s">
        <v>183</v>
      </c>
      <c r="D31" s="17" t="str">
        <f>SUBSTITUTE(SUBSTITUTE(SUBSTITUTE(StatusBranch[[#This Row],[Status]] &amp; "  /  " &amp; StatusBranch[[#This Row],[Branch]] &amp; ";", "  /  ;", ";"), "  /  ;", ";"), ";", "")</f>
        <v>DoD Civilian  /  Air Force</v>
      </c>
      <c r="E31">
        <v>12</v>
      </c>
      <c r="F31" s="17" t="str">
        <f>IF(LEFT(StatusBranch[[#This Row],[Which]], 1) = "1", StatusBranch[[#This Row],[Key]] &amp; "", "")</f>
        <v>DoD Civilian  /  Air Force</v>
      </c>
      <c r="G31" s="17" t="str">
        <f>IF(RIGHT(StatusBranch[[#This Row],[Which]], 1) = "2", StatusBranch[[#This Row],[Key]] &amp; "", "")</f>
        <v>DoD Civilian  /  Air Force</v>
      </c>
      <c r="H31" s="17" t="s">
        <v>298</v>
      </c>
      <c r="I31" s="17">
        <f>--ISNUMBER(IFERROR(SEARCH('Calculation Worksheet'!$AV$6, StatusBranch[[#This Row],[Sponsor]], 1), ""))</f>
        <v>1</v>
      </c>
      <c r="J31" s="17">
        <f>IF(StatusBranch[[#This Row],[S1]] = 1, COUNTIF($I$3:I31, 1), "")</f>
        <v>27</v>
      </c>
      <c r="K31" s="17" t="str">
        <f>IFERROR(INDEX(StatusBranch[Branch], MATCH(ROWS($J$3:J31), StatusBranch[S2], 0)), "") &amp; ""</f>
        <v>Coast Guard</v>
      </c>
      <c r="L31" s="17">
        <f>--ISNUMBER(IFERROR(SEARCH('Calculation Worksheet'!$CG$6, StatusBranch[[#This Row],[Spouse]], 1), ""))</f>
        <v>1</v>
      </c>
      <c r="M31" s="17">
        <f>IF(StatusBranch[[#This Row],[T1]] = 1, COUNTIF($L$3:L31, 1), "")</f>
        <v>28</v>
      </c>
      <c r="N31" s="17" t="str">
        <f>IFERROR(INDEX(StatusBranch[Branch], MATCH(ROWS($M$3:M31), StatusBranch[T2], 0)), "") &amp; ""</f>
        <v>Army</v>
      </c>
    </row>
    <row r="32" spans="1:14" x14ac:dyDescent="0.25">
      <c r="A32">
        <v>7</v>
      </c>
      <c r="B32" t="s">
        <v>20</v>
      </c>
      <c r="C32" t="s">
        <v>180</v>
      </c>
      <c r="D32" s="17" t="str">
        <f>SUBSTITUTE(SUBSTITUTE(SUBSTITUTE(StatusBranch[[#This Row],[Status]] &amp; "  /  " &amp; StatusBranch[[#This Row],[Branch]] &amp; ";", "  /  ;", ";"), "  /  ;", ";"), ";", "")</f>
        <v>DoD Civilian  /  Army</v>
      </c>
      <c r="E32">
        <v>12</v>
      </c>
      <c r="F32" s="17" t="str">
        <f>IF(LEFT(StatusBranch[[#This Row],[Which]], 1) = "1", StatusBranch[[#This Row],[Key]] &amp; "", "")</f>
        <v>DoD Civilian  /  Army</v>
      </c>
      <c r="G32" s="17" t="str">
        <f>IF(RIGHT(StatusBranch[[#This Row],[Which]], 1) = "2", StatusBranch[[#This Row],[Key]] &amp; "", "")</f>
        <v>DoD Civilian  /  Army</v>
      </c>
      <c r="H32" s="17" t="s">
        <v>298</v>
      </c>
      <c r="I32" s="17">
        <f>--ISNUMBER(IFERROR(SEARCH('Calculation Worksheet'!$AV$6, StatusBranch[[#This Row],[Sponsor]], 1), ""))</f>
        <v>1</v>
      </c>
      <c r="J32" s="17">
        <f>IF(StatusBranch[[#This Row],[S1]] = 1, COUNTIF($I$3:I32, 1), "")</f>
        <v>28</v>
      </c>
      <c r="K32" s="17" t="str">
        <f>IFERROR(INDEX(StatusBranch[Branch], MATCH(ROWS($J$3:J32), StatusBranch[S2], 0)), "") &amp; ""</f>
        <v>Marines</v>
      </c>
      <c r="L32" s="17">
        <f>--ISNUMBER(IFERROR(SEARCH('Calculation Worksheet'!$CG$6, StatusBranch[[#This Row],[Spouse]], 1), ""))</f>
        <v>1</v>
      </c>
      <c r="M32" s="17">
        <f>IF(StatusBranch[[#This Row],[T1]] = 1, COUNTIF($L$3:L32, 1), "")</f>
        <v>29</v>
      </c>
      <c r="N32" s="17" t="str">
        <f>IFERROR(INDEX(StatusBranch[Branch], MATCH(ROWS($M$3:M32), StatusBranch[T2], 0)), "") &amp; ""</f>
        <v>Coast Guard</v>
      </c>
    </row>
    <row r="33" spans="1:14" x14ac:dyDescent="0.25">
      <c r="A33">
        <v>7</v>
      </c>
      <c r="B33" t="s">
        <v>20</v>
      </c>
      <c r="C33" t="s">
        <v>184</v>
      </c>
      <c r="D33" s="17" t="str">
        <f>SUBSTITUTE(SUBSTITUTE(SUBSTITUTE(StatusBranch[[#This Row],[Status]] &amp; "  /  " &amp; StatusBranch[[#This Row],[Branch]] &amp; ";", "  /  ;", ";"), "  /  ;", ";"), ";", "")</f>
        <v>DoD Civilian  /  Coast Guard</v>
      </c>
      <c r="E33">
        <v>12</v>
      </c>
      <c r="F33" s="17" t="str">
        <f>IF(LEFT(StatusBranch[[#This Row],[Which]], 1) = "1", StatusBranch[[#This Row],[Key]] &amp; "", "")</f>
        <v>DoD Civilian  /  Coast Guard</v>
      </c>
      <c r="G33" s="17" t="str">
        <f>IF(RIGHT(StatusBranch[[#This Row],[Which]], 1) = "2", StatusBranch[[#This Row],[Key]] &amp; "", "")</f>
        <v>DoD Civilian  /  Coast Guard</v>
      </c>
      <c r="H33" s="17" t="s">
        <v>298</v>
      </c>
      <c r="I33" s="17">
        <f>--ISNUMBER(IFERROR(SEARCH('Calculation Worksheet'!$AV$6, StatusBranch[[#This Row],[Sponsor]], 1), ""))</f>
        <v>1</v>
      </c>
      <c r="J33" s="17">
        <f>IF(StatusBranch[[#This Row],[S1]] = 1, COUNTIF($I$3:I33, 1), "")</f>
        <v>29</v>
      </c>
      <c r="K33" s="17" t="str">
        <f>IFERROR(INDEX(StatusBranch[Branch], MATCH(ROWS($J$3:J33), StatusBranch[S2], 0)), "") &amp; ""</f>
        <v>Navy</v>
      </c>
      <c r="L33" s="17">
        <f>--ISNUMBER(IFERROR(SEARCH('Calculation Worksheet'!$CG$6, StatusBranch[[#This Row],[Spouse]], 1), ""))</f>
        <v>1</v>
      </c>
      <c r="M33" s="17">
        <f>IF(StatusBranch[[#This Row],[T1]] = 1, COUNTIF($L$3:L33, 1), "")</f>
        <v>30</v>
      </c>
      <c r="N33" s="17" t="str">
        <f>IFERROR(INDEX(StatusBranch[Branch], MATCH(ROWS($M$3:M33), StatusBranch[T2], 0)), "") &amp; ""</f>
        <v>Marines</v>
      </c>
    </row>
    <row r="34" spans="1:14" x14ac:dyDescent="0.25">
      <c r="A34">
        <v>7</v>
      </c>
      <c r="B34" t="s">
        <v>20</v>
      </c>
      <c r="C34" t="s">
        <v>181</v>
      </c>
      <c r="D34" s="17" t="str">
        <f>SUBSTITUTE(SUBSTITUTE(SUBSTITUTE(StatusBranch[[#This Row],[Status]] &amp; "  /  " &amp; StatusBranch[[#This Row],[Branch]] &amp; ";", "  /  ;", ";"), "  /  ;", ";"), ";", "")</f>
        <v>DoD Civilian  /  Marines</v>
      </c>
      <c r="E34">
        <v>12</v>
      </c>
      <c r="F34" s="17" t="str">
        <f>IF(LEFT(StatusBranch[[#This Row],[Which]], 1) = "1", StatusBranch[[#This Row],[Key]] &amp; "", "")</f>
        <v>DoD Civilian  /  Marines</v>
      </c>
      <c r="G34" s="17" t="str">
        <f>IF(RIGHT(StatusBranch[[#This Row],[Which]], 1) = "2", StatusBranch[[#This Row],[Key]] &amp; "", "")</f>
        <v>DoD Civilian  /  Marines</v>
      </c>
      <c r="H34" s="17" t="s">
        <v>298</v>
      </c>
      <c r="I34" s="17">
        <f>--ISNUMBER(IFERROR(SEARCH('Calculation Worksheet'!$AV$6, StatusBranch[[#This Row],[Sponsor]], 1), ""))</f>
        <v>1</v>
      </c>
      <c r="J34" s="17">
        <f>IF(StatusBranch[[#This Row],[S1]] = 1, COUNTIF($I$3:I34, 1), "")</f>
        <v>30</v>
      </c>
      <c r="K34" s="17" t="str">
        <f>IFERROR(INDEX(StatusBranch[Branch], MATCH(ROWS($J$3:J34), StatusBranch[S2], 0)), "") &amp; ""</f>
        <v>Space Force</v>
      </c>
      <c r="L34" s="17">
        <f>--ISNUMBER(IFERROR(SEARCH('Calculation Worksheet'!$CG$6, StatusBranch[[#This Row],[Spouse]], 1), ""))</f>
        <v>1</v>
      </c>
      <c r="M34" s="17">
        <f>IF(StatusBranch[[#This Row],[T1]] = 1, COUNTIF($L$3:L34, 1), "")</f>
        <v>31</v>
      </c>
      <c r="N34" s="17" t="str">
        <f>IFERROR(INDEX(StatusBranch[Branch], MATCH(ROWS($M$3:M34), StatusBranch[T2], 0)), "") &amp; ""</f>
        <v>Navy</v>
      </c>
    </row>
    <row r="35" spans="1:14" x14ac:dyDescent="0.25">
      <c r="A35">
        <v>7</v>
      </c>
      <c r="B35" t="s">
        <v>20</v>
      </c>
      <c r="C35" t="s">
        <v>182</v>
      </c>
      <c r="D35" s="17" t="str">
        <f>SUBSTITUTE(SUBSTITUTE(SUBSTITUTE(StatusBranch[[#This Row],[Status]] &amp; "  /  " &amp; StatusBranch[[#This Row],[Branch]] &amp; ";", "  /  ;", ";"), "  /  ;", ";"), ";", "")</f>
        <v>DoD Civilian  /  Navy</v>
      </c>
      <c r="E35">
        <v>12</v>
      </c>
      <c r="F35" s="17" t="str">
        <f>IF(LEFT(StatusBranch[[#This Row],[Which]], 1) = "1", StatusBranch[[#This Row],[Key]] &amp; "", "")</f>
        <v>DoD Civilian  /  Navy</v>
      </c>
      <c r="G35" s="17" t="str">
        <f>IF(RIGHT(StatusBranch[[#This Row],[Which]], 1) = "2", StatusBranch[[#This Row],[Key]] &amp; "", "")</f>
        <v>DoD Civilian  /  Navy</v>
      </c>
      <c r="H35" s="17" t="s">
        <v>298</v>
      </c>
      <c r="I35" s="17">
        <f>--ISNUMBER(IFERROR(SEARCH('Calculation Worksheet'!$AV$6, StatusBranch[[#This Row],[Sponsor]], 1), ""))</f>
        <v>1</v>
      </c>
      <c r="J35" s="17">
        <f>IF(StatusBranch[[#This Row],[S1]] = 1, COUNTIF($I$3:I35, 1), "")</f>
        <v>31</v>
      </c>
      <c r="K35" s="17" t="str">
        <f>IFERROR(INDEX(StatusBranch[Branch], MATCH(ROWS($J$3:J35), StatusBranch[S2], 0)), "") &amp; ""</f>
        <v/>
      </c>
      <c r="L35" s="17">
        <f>--ISNUMBER(IFERROR(SEARCH('Calculation Worksheet'!$CG$6, StatusBranch[[#This Row],[Spouse]], 1), ""))</f>
        <v>1</v>
      </c>
      <c r="M35" s="17">
        <f>IF(StatusBranch[[#This Row],[T1]] = 1, COUNTIF($L$3:L35, 1), "")</f>
        <v>32</v>
      </c>
      <c r="N35" s="17" t="str">
        <f>IFERROR(INDEX(StatusBranch[Branch], MATCH(ROWS($M$3:M35), StatusBranch[T2], 0)), "") &amp; ""</f>
        <v>Space Force</v>
      </c>
    </row>
    <row r="36" spans="1:14" x14ac:dyDescent="0.25">
      <c r="A36">
        <v>7</v>
      </c>
      <c r="B36" t="s">
        <v>20</v>
      </c>
      <c r="C36" t="s">
        <v>185</v>
      </c>
      <c r="D36" s="17" t="str">
        <f>SUBSTITUTE(SUBSTITUTE(SUBSTITUTE(StatusBranch[[#This Row],[Status]] &amp; "  /  " &amp; StatusBranch[[#This Row],[Branch]] &amp; ";", "  /  ;", ";"), "  /  ;", ";"), ";", "")</f>
        <v>DoD Civilian  /  Space Force</v>
      </c>
      <c r="E36">
        <v>12</v>
      </c>
      <c r="F36" s="17" t="str">
        <f>IF(LEFT(StatusBranch[[#This Row],[Which]], 1) = "1", StatusBranch[[#This Row],[Key]] &amp; "", "")</f>
        <v>DoD Civilian  /  Space Force</v>
      </c>
      <c r="G36" s="17" t="str">
        <f>IF(RIGHT(StatusBranch[[#This Row],[Which]], 1) = "2", StatusBranch[[#This Row],[Key]] &amp; "", "")</f>
        <v>DoD Civilian  /  Space Force</v>
      </c>
      <c r="H36" s="17" t="s">
        <v>298</v>
      </c>
      <c r="I36" s="17">
        <f>--ISNUMBER(IFERROR(SEARCH('Calculation Worksheet'!$AV$6, StatusBranch[[#This Row],[Sponsor]], 1), ""))</f>
        <v>1</v>
      </c>
      <c r="J36" s="17">
        <f>IF(StatusBranch[[#This Row],[S1]] = 1, COUNTIF($I$3:I36, 1), "")</f>
        <v>32</v>
      </c>
      <c r="K36" s="17" t="str">
        <f>IFERROR(INDEX(StatusBranch[Branch], MATCH(ROWS($J$3:J36), StatusBranch[S2], 0)), "") &amp; ""</f>
        <v/>
      </c>
      <c r="L36" s="17">
        <f>--ISNUMBER(IFERROR(SEARCH('Calculation Worksheet'!$CG$6, StatusBranch[[#This Row],[Spouse]], 1), ""))</f>
        <v>1</v>
      </c>
      <c r="M36" s="17">
        <f>IF(StatusBranch[[#This Row],[T1]] = 1, COUNTIF($L$3:L36, 1), "")</f>
        <v>33</v>
      </c>
      <c r="N36" s="17" t="str">
        <f>IFERROR(INDEX(StatusBranch[Branch], MATCH(ROWS($M$3:M36), StatusBranch[T2], 0)), "") &amp; ""</f>
        <v/>
      </c>
    </row>
    <row r="37" spans="1:14" x14ac:dyDescent="0.25">
      <c r="A37">
        <v>8</v>
      </c>
      <c r="B37" t="s">
        <v>220</v>
      </c>
      <c r="D37" s="17" t="str">
        <f>SUBSTITUTE(SUBSTITUTE(SUBSTITUTE(StatusBranch[[#This Row],[Status]] &amp; "  /  " &amp; StatusBranch[[#This Row],[Branch]] &amp; ";", "  /  ;", ";"), "  /  ;", ";"), ";", "")</f>
        <v>Gold Star Spouse</v>
      </c>
      <c r="E37">
        <v>1</v>
      </c>
      <c r="F37" s="17" t="str">
        <f>IF(LEFT(StatusBranch[[#This Row],[Which]], 1) = "1", StatusBranch[[#This Row],[Key]] &amp; "", "")</f>
        <v>Gold Star Spouse</v>
      </c>
      <c r="G37" s="17" t="str">
        <f>IF(RIGHT(StatusBranch[[#This Row],[Which]], 1) = "2", StatusBranch[[#This Row],[Key]] &amp; "", "")</f>
        <v/>
      </c>
      <c r="H37" s="17" t="s">
        <v>300</v>
      </c>
      <c r="I37" s="17">
        <f>--ISNUMBER(IFERROR(SEARCH('Calculation Worksheet'!$AV$6, StatusBranch[[#This Row],[Sponsor]], 1), ""))</f>
        <v>1</v>
      </c>
      <c r="J37" s="17">
        <f>IF(StatusBranch[[#This Row],[S1]] = 1, COUNTIF($I$3:I37, 1), "")</f>
        <v>33</v>
      </c>
      <c r="K37" s="17" t="str">
        <f>IFERROR(INDEX(StatusBranch[Branch], MATCH(ROWS($J$3:J37), StatusBranch[S2], 0)), "") &amp; ""</f>
        <v/>
      </c>
      <c r="L37" s="17">
        <f>--ISNUMBER(IFERROR(SEARCH('Calculation Worksheet'!$CG$6, StatusBranch[[#This Row],[Spouse]], 1), ""))</f>
        <v>0</v>
      </c>
      <c r="M37" s="17" t="str">
        <f>IF(StatusBranch[[#This Row],[T1]] = 1, COUNTIF($L$3:L37, 1), "")</f>
        <v/>
      </c>
      <c r="N37" s="17" t="str">
        <f>IFERROR(INDEX(StatusBranch[Branch], MATCH(ROWS($M$3:M37), StatusBranch[T2], 0)), "") &amp; ""</f>
        <v/>
      </c>
    </row>
    <row r="38" spans="1:14" x14ac:dyDescent="0.25">
      <c r="A38">
        <v>9</v>
      </c>
      <c r="B38" t="s">
        <v>219</v>
      </c>
      <c r="D38" s="17" t="str">
        <f>SUBSTITUTE(SUBSTITUTE(SUBSTITUTE(StatusBranch[[#This Row],[Status]] &amp; "  /  " &amp; StatusBranch[[#This Row],[Branch]] &amp; ";", "  /  ;", ";"), "  /  ;", ";"), ";", "")</f>
        <v>Eligible Contractor</v>
      </c>
      <c r="E38">
        <v>12</v>
      </c>
      <c r="F38" s="17" t="str">
        <f>IF(LEFT(StatusBranch[[#This Row],[Which]], 1) = "1", StatusBranch[[#This Row],[Key]] &amp; "", "")</f>
        <v>Eligible Contractor</v>
      </c>
      <c r="G38" s="17" t="str">
        <f>IF(RIGHT(StatusBranch[[#This Row],[Which]], 1) = "2", StatusBranch[[#This Row],[Key]] &amp; "", "")</f>
        <v>Eligible Contractor</v>
      </c>
      <c r="H38" s="17" t="s">
        <v>297</v>
      </c>
      <c r="I38" s="17">
        <f>--ISNUMBER(IFERROR(SEARCH('Calculation Worksheet'!$AV$6, StatusBranch[[#This Row],[Sponsor]], 1), ""))</f>
        <v>1</v>
      </c>
      <c r="J38" s="17">
        <f>IF(StatusBranch[[#This Row],[S1]] = 1, COUNTIF($I$3:I38, 1), "")</f>
        <v>34</v>
      </c>
      <c r="K38" s="17" t="str">
        <f>IFERROR(INDEX(StatusBranch[Branch], MATCH(ROWS($J$3:J38), StatusBranch[S2], 0)), "") &amp; ""</f>
        <v/>
      </c>
      <c r="L38" s="17">
        <f>--ISNUMBER(IFERROR(SEARCH('Calculation Worksheet'!$CG$6, StatusBranch[[#This Row],[Spouse]], 1), ""))</f>
        <v>1</v>
      </c>
      <c r="M38" s="17">
        <f>IF(StatusBranch[[#This Row],[T1]] = 1, COUNTIF($L$3:L38, 1), "")</f>
        <v>34</v>
      </c>
      <c r="N38" s="17" t="str">
        <f>IFERROR(INDEX(StatusBranch[Branch], MATCH(ROWS($M$3:M38), StatusBranch[T2], 0)), "") &amp; ""</f>
        <v/>
      </c>
    </row>
    <row r="39" spans="1:14" x14ac:dyDescent="0.25">
      <c r="A39">
        <v>10</v>
      </c>
      <c r="B39" t="s">
        <v>340</v>
      </c>
      <c r="D39" s="17" t="str">
        <f>SUBSTITUTE(SUBSTITUTE(SUBSTITUTE(StatusBranch[[#This Row],[Status]] &amp; "  /  " &amp; StatusBranch[[#This Row],[Branch]] &amp; ";", "  /  ;", ";"), "  /  ;", ";"), ";", "")</f>
        <v>Federal Civilian (USPS, VA, etc.)</v>
      </c>
      <c r="E39">
        <v>12</v>
      </c>
      <c r="F39" s="17" t="str">
        <f>IF(LEFT(StatusBranch[[#This Row],[Which]], 1) = "1", StatusBranch[[#This Row],[Key]] &amp; "", "")</f>
        <v>Federal Civilian (USPS, VA, etc.)</v>
      </c>
      <c r="G39" s="17" t="str">
        <f>IF(RIGHT(StatusBranch[[#This Row],[Which]], 1) = "2", StatusBranch[[#This Row],[Key]] &amp; "", "")</f>
        <v>Federal Civilian (USPS, VA, etc.)</v>
      </c>
      <c r="H39" s="17" t="s">
        <v>6</v>
      </c>
      <c r="I39" s="17">
        <f>--ISNUMBER(IFERROR(SEARCH('Calculation Worksheet'!$AV$6, StatusBranch[[#This Row],[Sponsor]], 1), ""))</f>
        <v>1</v>
      </c>
      <c r="J39" s="17">
        <f>IF(StatusBranch[[#This Row],[S1]] = 1, COUNTIF($I$3:I39, 1), "")</f>
        <v>35</v>
      </c>
      <c r="K39" s="17" t="str">
        <f>IFERROR(INDEX(StatusBranch[Branch], MATCH(ROWS($J$3:J39), StatusBranch[S2], 0)), "") &amp; ""</f>
        <v/>
      </c>
      <c r="L39" s="17">
        <f>--ISNUMBER(IFERROR(SEARCH('Calculation Worksheet'!$CG$6, StatusBranch[[#This Row],[Spouse]], 1), ""))</f>
        <v>1</v>
      </c>
      <c r="M39" s="17">
        <f>IF(StatusBranch[[#This Row],[T1]] = 1, COUNTIF($L$3:L39, 1), "")</f>
        <v>35</v>
      </c>
      <c r="N39" s="17" t="str">
        <f>IFERROR(INDEX(StatusBranch[Branch], MATCH(ROWS($M$3:M39), StatusBranch[T2], 0)), "") &amp; ""</f>
        <v/>
      </c>
    </row>
    <row r="40" spans="1:14" x14ac:dyDescent="0.25">
      <c r="A40">
        <v>11</v>
      </c>
      <c r="B40" t="s">
        <v>217</v>
      </c>
      <c r="D40" s="17" t="str">
        <f>SUBSTITUTE(SUBSTITUTE(SUBSTITUTE(StatusBranch[[#This Row],[Status]] &amp; "  /  " &amp; StatusBranch[[#This Row],[Branch]] &amp; ";", "  /  ;", ";"), "  /  ;", ";"), ";", "")</f>
        <v>Other Civilian</v>
      </c>
      <c r="E40">
        <v>2</v>
      </c>
      <c r="F40" s="17" t="str">
        <f>IF(LEFT(StatusBranch[[#This Row],[Which]], 1) = "1", StatusBranch[[#This Row],[Key]] &amp; "", "")</f>
        <v/>
      </c>
      <c r="G40" s="17" t="str">
        <f>IF(RIGHT(StatusBranch[[#This Row],[Which]], 1) = "2", StatusBranch[[#This Row],[Key]] &amp; "", "")</f>
        <v>Other Civilian</v>
      </c>
      <c r="H40" s="74" t="s">
        <v>302</v>
      </c>
      <c r="I40" s="17">
        <f>--ISNUMBER(IFERROR(SEARCH('Calculation Worksheet'!$AV$6, StatusBranch[[#This Row],[Sponsor]], 1), ""))</f>
        <v>0</v>
      </c>
      <c r="J40" s="17" t="str">
        <f>IF(StatusBranch[[#This Row],[S1]] = 1, COUNTIF($I$3:I40, 1), "")</f>
        <v/>
      </c>
      <c r="K40" s="17" t="str">
        <f>IFERROR(INDEX(StatusBranch[Branch], MATCH(ROWS($J$3:J40), StatusBranch[S2], 0)), "") &amp; ""</f>
        <v/>
      </c>
      <c r="L40" s="17">
        <f>--ISNUMBER(IFERROR(SEARCH('Calculation Worksheet'!$CG$6, StatusBranch[[#This Row],[Spouse]], 1), ""))</f>
        <v>1</v>
      </c>
      <c r="M40" s="17">
        <f>IF(StatusBranch[[#This Row],[T1]] = 1, COUNTIF($L$3:L40, 1), "")</f>
        <v>36</v>
      </c>
      <c r="N40" s="17" t="str">
        <f>IFERROR(INDEX(StatusBranch[Branch], MATCH(ROWS($M$3:M40), StatusBranch[T2], 0)), "") &amp; ""</f>
        <v/>
      </c>
    </row>
    <row r="41" spans="1:14" x14ac:dyDescent="0.25">
      <c r="A41">
        <v>12</v>
      </c>
      <c r="B41" t="s">
        <v>312</v>
      </c>
      <c r="D41" s="17" t="str">
        <f>SUBSTITUTE(SUBSTITUTE(SUBSTITUTE(StatusBranch[[#This Row],[Status]] &amp; "  /  " &amp; StatusBranch[[#This Row],[Branch]] &amp; ";", "  /  ;", ";"), "  /  ;", ";"), ";", "")</f>
        <v>Private Civilian--IMCOM-approved</v>
      </c>
      <c r="E41">
        <v>1</v>
      </c>
      <c r="F41" s="17" t="str">
        <f>IF(LEFT(StatusBranch[[#This Row],[Which]], 1) = "1", StatusBranch[[#This Row],[Key]] &amp; "", "")</f>
        <v>Private Civilian--IMCOM-approved</v>
      </c>
      <c r="G41" s="17" t="str">
        <f>IF(RIGHT(StatusBranch[[#This Row],[Which]], 1) = "2", StatusBranch[[#This Row],[Key]] &amp; "", "")</f>
        <v/>
      </c>
      <c r="H41" s="17" t="s">
        <v>6</v>
      </c>
      <c r="I41" s="17">
        <f>--ISNUMBER(IFERROR(SEARCH('Calculation Worksheet'!$AV$6, StatusBranch[[#This Row],[Sponsor]], 1), ""))</f>
        <v>1</v>
      </c>
      <c r="J41" s="17">
        <f>IF(StatusBranch[[#This Row],[S1]] = 1, COUNTIF($I$3:I41, 1), "")</f>
        <v>36</v>
      </c>
      <c r="K41" s="17" t="str">
        <f>IFERROR(INDEX(StatusBranch[Branch], MATCH(ROWS($J$3:J41), StatusBranch[S2], 0)), "") &amp; ""</f>
        <v/>
      </c>
      <c r="L41" s="17">
        <f>--ISNUMBER(IFERROR(SEARCH('Calculation Worksheet'!$CG$6, StatusBranch[[#This Row],[Spouse]], 1), ""))</f>
        <v>0</v>
      </c>
      <c r="M41" s="17" t="str">
        <f>IF(StatusBranch[[#This Row],[T1]] = 1, COUNTIF($L$3:L41, 1), "")</f>
        <v/>
      </c>
      <c r="N41" s="17" t="str">
        <f>IFERROR(INDEX(StatusBranch[Branch], MATCH(ROWS($M$3:M41), StatusBranch[T2], 0)), "") &amp; ""</f>
        <v/>
      </c>
    </row>
    <row r="42" spans="1:14" x14ac:dyDescent="0.25">
      <c r="A42">
        <v>13</v>
      </c>
      <c r="B42" t="s">
        <v>213</v>
      </c>
      <c r="D42" s="17" t="str">
        <f>SUBSTITUTE(SUBSTITUTE(SUBSTITUTE(StatusBranch[[#This Row],[Status]] &amp; "  /  " &amp; StatusBranch[[#This Row],[Branch]] &amp; ";", "  /  ;", ";"), "  /  ;", ";"), ";", "")</f>
        <v>Student</v>
      </c>
      <c r="E42">
        <v>2</v>
      </c>
      <c r="F42" s="17" t="str">
        <f>IF(LEFT(StatusBranch[[#This Row],[Which]], 1) = "1", StatusBranch[[#This Row],[Key]] &amp; "", "")</f>
        <v/>
      </c>
      <c r="G42" s="17" t="str">
        <f>IF(RIGHT(StatusBranch[[#This Row],[Which]], 1) = "2", StatusBranch[[#This Row],[Key]] &amp; "", "")</f>
        <v>Student</v>
      </c>
      <c r="H42" s="74" t="s">
        <v>302</v>
      </c>
      <c r="I42" s="17">
        <f>--ISNUMBER(IFERROR(SEARCH('Calculation Worksheet'!$AV$6, StatusBranch[[#This Row],[Sponsor]], 1), ""))</f>
        <v>0</v>
      </c>
      <c r="J42" s="17" t="str">
        <f>IF(StatusBranch[[#This Row],[S1]] = 1, COUNTIF($I$3:I42, 1), "")</f>
        <v/>
      </c>
      <c r="K42" s="17" t="str">
        <f>IFERROR(INDEX(StatusBranch[Branch], MATCH(ROWS($J$3:J42), StatusBranch[S2], 0)), "") &amp; ""</f>
        <v/>
      </c>
      <c r="L42" s="17">
        <f>--ISNUMBER(IFERROR(SEARCH('Calculation Worksheet'!$CG$6, StatusBranch[[#This Row],[Spouse]], 1), ""))</f>
        <v>1</v>
      </c>
      <c r="M42" s="17">
        <f>IF(StatusBranch[[#This Row],[T1]] = 1, COUNTIF($L$3:L42, 1), "")</f>
        <v>37</v>
      </c>
      <c r="N42" s="17" t="str">
        <f>IFERROR(INDEX(StatusBranch[Branch], MATCH(ROWS($M$3:M42), StatusBranch[T2], 0)), "") &amp; ""</f>
        <v/>
      </c>
    </row>
    <row r="43" spans="1:14" x14ac:dyDescent="0.25">
      <c r="A43">
        <v>14</v>
      </c>
      <c r="B43" t="s">
        <v>214</v>
      </c>
      <c r="D43" s="17" t="str">
        <f>SUBSTITUTE(SUBSTITUTE(SUBSTITUTE(StatusBranch[[#This Row],[Status]] &amp; "  /  " &amp; StatusBranch[[#This Row],[Branch]] &amp; ";", "  /  ;", ";"), "  /  ;", ";"), ";", "")</f>
        <v>Retired military</v>
      </c>
      <c r="E43">
        <v>1</v>
      </c>
      <c r="F43" s="17" t="str">
        <f>IF(LEFT(StatusBranch[[#This Row],[Which]], 1) = "1", StatusBranch[[#This Row],[Key]] &amp; "", "")</f>
        <v>Retired military</v>
      </c>
      <c r="G43" s="17" t="str">
        <f>IF(RIGHT(StatusBranch[[#This Row],[Which]], 1) = "2", StatusBranch[[#This Row],[Key]] &amp; "", "")</f>
        <v/>
      </c>
      <c r="H43" s="17" t="s">
        <v>6</v>
      </c>
      <c r="I43" s="17">
        <f>--ISNUMBER(IFERROR(SEARCH('Calculation Worksheet'!$AV$6, StatusBranch[[#This Row],[Sponsor]], 1), ""))</f>
        <v>1</v>
      </c>
      <c r="J43" s="17">
        <f>IF(StatusBranch[[#This Row],[S1]] = 1, COUNTIF($I$3:I43, 1), "")</f>
        <v>37</v>
      </c>
      <c r="K43" s="17" t="str">
        <f>IFERROR(INDEX(StatusBranch[Branch], MATCH(ROWS($J$3:J43), StatusBranch[S2], 0)), "") &amp; ""</f>
        <v/>
      </c>
      <c r="L43" s="17">
        <f>--ISNUMBER(IFERROR(SEARCH('Calculation Worksheet'!$CG$6, StatusBranch[[#This Row],[Spouse]], 1), ""))</f>
        <v>0</v>
      </c>
      <c r="M43" s="17" t="str">
        <f>IF(StatusBranch[[#This Row],[T1]] = 1, COUNTIF($L$3:L43, 1), "")</f>
        <v/>
      </c>
      <c r="N43" s="17" t="str">
        <f>IFERROR(INDEX(StatusBranch[Branch], MATCH(ROWS($M$3:M43), StatusBranch[T2], 0)), "") &amp; ""</f>
        <v/>
      </c>
    </row>
    <row r="44" spans="1:14" x14ac:dyDescent="0.25">
      <c r="A44">
        <v>15</v>
      </c>
      <c r="B44" t="s">
        <v>215</v>
      </c>
      <c r="D44" s="17" t="str">
        <f>SUBSTITUTE(SUBSTITUTE(SUBSTITUTE(StatusBranch[[#This Row],[Status]] &amp; "  /  " &amp; StatusBranch[[#This Row],[Branch]] &amp; ";", "  /  ;", ";"), "  /  ;", ";"), ";", "")</f>
        <v>Unemployed</v>
      </c>
      <c r="E44">
        <v>2</v>
      </c>
      <c r="F44" s="17" t="str">
        <f>IF(LEFT(StatusBranch[[#This Row],[Which]], 1) = "1", StatusBranch[[#This Row],[Key]] &amp; "", "")</f>
        <v/>
      </c>
      <c r="G44" s="17" t="str">
        <f>IF(RIGHT(StatusBranch[[#This Row],[Which]], 1) = "2", StatusBranch[[#This Row],[Key]] &amp; "", "")</f>
        <v>Unemployed</v>
      </c>
      <c r="H44" s="74" t="s">
        <v>302</v>
      </c>
      <c r="I44" s="17">
        <f>--ISNUMBER(IFERROR(SEARCH('Calculation Worksheet'!$AV$6, StatusBranch[[#This Row],[Sponsor]], 1), ""))</f>
        <v>0</v>
      </c>
      <c r="J44" s="17" t="str">
        <f>IF(StatusBranch[[#This Row],[S1]] = 1, COUNTIF($I$3:I44, 1), "")</f>
        <v/>
      </c>
      <c r="K44" s="17" t="str">
        <f>IFERROR(INDEX(StatusBranch[Branch], MATCH(ROWS($J$3:J44), StatusBranch[S2], 0)), "") &amp; ""</f>
        <v/>
      </c>
      <c r="L44" s="17">
        <f>--ISNUMBER(IFERROR(SEARCH('Calculation Worksheet'!$CG$6, StatusBranch[[#This Row],[Spouse]], 1), ""))</f>
        <v>1</v>
      </c>
      <c r="M44" s="17">
        <f>IF(StatusBranch[[#This Row],[T1]] = 1, COUNTIF($L$3:L44, 1), "")</f>
        <v>38</v>
      </c>
      <c r="N44" s="17" t="str">
        <f>IFERROR(INDEX(StatusBranch[Branch], MATCH(ROWS($M$3:M44), StatusBranch[T2], 0)), "") &amp; ""</f>
        <v/>
      </c>
    </row>
  </sheetData>
  <sheetProtection password="C979" sheet="1" objects="1" scenarios="1"/>
  <conditionalFormatting sqref="A2:N44">
    <cfRule type="expression" dxfId="22" priority="6">
      <formula>LEFT(_xlfn.FORMULATEXT(A2), 1) = "="</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1"/>
  </sheetPr>
  <dimension ref="A1:W569"/>
  <sheetViews>
    <sheetView zoomScaleNormal="100" workbookViewId="0">
      <pane ySplit="3" topLeftCell="A4" activePane="bottomLeft" state="frozen"/>
      <selection sqref="A1:L1"/>
      <selection pane="bottomLeft" activeCell="A3" sqref="A3"/>
    </sheetView>
  </sheetViews>
  <sheetFormatPr defaultRowHeight="15" x14ac:dyDescent="0.25"/>
  <cols>
    <col min="1" max="1" width="6.28515625" customWidth="1"/>
    <col min="2" max="2" width="32.140625" bestFit="1" customWidth="1"/>
    <col min="3" max="3" width="11.5703125" bestFit="1" customWidth="1"/>
    <col min="4" max="4" width="10.140625" bestFit="1" customWidth="1"/>
    <col min="5" max="6" width="10.140625" customWidth="1"/>
    <col min="7" max="7" width="12" customWidth="1"/>
    <col min="8" max="8" width="54.28515625" bestFit="1" customWidth="1"/>
    <col min="9" max="9" width="54.28515625" customWidth="1"/>
    <col min="10" max="10" width="9" bestFit="1" customWidth="1"/>
    <col min="11" max="11" width="54.28515625" bestFit="1" customWidth="1"/>
    <col min="12" max="12" width="44" bestFit="1" customWidth="1"/>
    <col min="13" max="13" width="54.28515625" bestFit="1" customWidth="1"/>
    <col min="14" max="14" width="44" bestFit="1" customWidth="1"/>
    <col min="15" max="15" width="12.140625" bestFit="1" customWidth="1"/>
    <col min="16" max="16" width="11.140625" bestFit="1" customWidth="1"/>
    <col min="17" max="18" width="5.28515625" bestFit="1" customWidth="1"/>
    <col min="19" max="19" width="8.42578125" bestFit="1" customWidth="1"/>
    <col min="20" max="21" width="5.28515625" bestFit="1" customWidth="1"/>
    <col min="22" max="22" width="10.140625" bestFit="1" customWidth="1"/>
    <col min="23" max="23" width="88" bestFit="1" customWidth="1"/>
    <col min="24" max="24" width="46" bestFit="1" customWidth="1"/>
  </cols>
  <sheetData>
    <row r="1" spans="1:23" x14ac:dyDescent="0.25">
      <c r="A1" t="s">
        <v>167</v>
      </c>
    </row>
    <row r="2" spans="1:23" x14ac:dyDescent="0.25">
      <c r="A2" t="s">
        <v>309</v>
      </c>
    </row>
    <row r="3" spans="1:23" ht="30" customHeight="1" x14ac:dyDescent="0.25">
      <c r="A3" s="73" t="s">
        <v>308</v>
      </c>
      <c r="B3" s="73" t="s">
        <v>168</v>
      </c>
      <c r="C3" s="73" t="s">
        <v>169</v>
      </c>
      <c r="D3" s="73" t="s">
        <v>107</v>
      </c>
      <c r="E3" s="73" t="s">
        <v>55</v>
      </c>
      <c r="F3" s="73" t="s">
        <v>170</v>
      </c>
      <c r="G3" s="73" t="s">
        <v>351</v>
      </c>
      <c r="H3" s="73" t="s">
        <v>171</v>
      </c>
      <c r="I3" s="73" t="s">
        <v>352</v>
      </c>
      <c r="J3" s="73" t="s">
        <v>172</v>
      </c>
      <c r="K3" s="73" t="s">
        <v>9</v>
      </c>
      <c r="L3" s="73" t="s">
        <v>353</v>
      </c>
      <c r="M3" s="73" t="s">
        <v>173</v>
      </c>
      <c r="N3" s="73" t="s">
        <v>354</v>
      </c>
      <c r="O3" s="73" t="s">
        <v>293</v>
      </c>
      <c r="P3" s="73" t="s">
        <v>295</v>
      </c>
      <c r="Q3" s="77" t="s">
        <v>313</v>
      </c>
      <c r="R3" s="77" t="s">
        <v>314</v>
      </c>
      <c r="S3" s="77" t="s">
        <v>315</v>
      </c>
      <c r="T3" s="77" t="s">
        <v>316</v>
      </c>
      <c r="U3" s="77" t="s">
        <v>317</v>
      </c>
      <c r="V3" s="77" t="s">
        <v>318</v>
      </c>
      <c r="W3" s="73" t="s">
        <v>404</v>
      </c>
    </row>
    <row r="4" spans="1:23" x14ac:dyDescent="0.25">
      <c r="A4">
        <v>1</v>
      </c>
      <c r="E4" t="str">
        <f>IF(StatusBranchGrade[[#This Row],[Status]] = "CYS", "DoD", StatusBranchGrade[[#This Row],[Rank]] &amp; "")</f>
        <v/>
      </c>
      <c r="F4" s="17"/>
      <c r="G4" s="17" t="str">
        <f>IF(StatusBranchGrade[[#This Row],[Rank]] = StatusBranchGrade[[#This Row],[Grade]], StatusBranchGrade[[#This Row],[Rank]], StatusBranchGrade[[#This Row],[Grade]] &amp; "/" &amp; StatusBranchGrade[[#This Row],[Rank]]) &amp; ""</f>
        <v/>
      </c>
      <c r="H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
      </c>
      <c r="I4" s="17" t="str">
        <f>SUBSTITUTE(SUBSTITUTE(SUBSTITUTE(StatusBranchGrade[[#This Row],[Status]] &amp; "  /  " &amp; StatusBranchGrade[[#This Row],[Branch]] &amp; ";", "  /  ;", ";"), "  /  ;", ";"), ";", "")</f>
        <v/>
      </c>
      <c r="J4">
        <v>2</v>
      </c>
      <c r="K4" s="17" t="str">
        <f>IF(LEFT(StatusBranchGrade[[#This Row],[Which]], 1) = "1", StatusBranchGrade[[#This Row],[Key]], "")</f>
        <v/>
      </c>
      <c r="L4" s="17" t="str">
        <f>IF(LEFT(StatusBranchGrade[[#This Row],[Which]], 1) = "1", StatusBranchGrade[[#This Row],[Key0]], "")</f>
        <v/>
      </c>
      <c r="M4" s="17" t="str">
        <f>IF(RIGHT(StatusBranchGrade[[#This Row],[Which]], 1) = "2", StatusBranchGrade[[#This Row],[Key]], "")</f>
        <v/>
      </c>
      <c r="N4" s="17" t="str">
        <f>IF(RIGHT(StatusBranchGrade[[#This Row],[Which]], 1) = "2", StatusBranchGrade[[#This Row],[Key0]], "")</f>
        <v/>
      </c>
      <c r="O4" s="74" t="s">
        <v>302</v>
      </c>
      <c r="P4" s="17"/>
      <c r="Q4" s="63">
        <f>--ISNUMBER(IF(StatusBranchGrade[[#This Row],[Sponsor0]] = 'Calculation Worksheet'!$AV$6 &amp; "  /  " &amp; 'Calculation Worksheet'!$AV$7, 1, ""))</f>
        <v>0</v>
      </c>
      <c r="R4" s="63" t="str">
        <f>IF(StatusBranchGrade[[#This Row],[S1]] = 1, COUNTIF($Q$3:Q4, 1), "")</f>
        <v/>
      </c>
      <c r="S4" s="63" t="str">
        <f>IFERROR(INDEX(StatusBranchGrade[Rank/Grade], MATCH(ROWS($R$3:R4)-1, StatusBranchGrade[S2], 0)), "") &amp; ""</f>
        <v/>
      </c>
      <c r="T4" s="63">
        <f>--ISNUMBER(IF(StatusBranchGrade[[#This Row],[Spouse0]] = 'Calculation Worksheet'!$CG$6 &amp; "  /  " &amp; 'Calculation Worksheet'!$CG$7, 1, ""))</f>
        <v>0</v>
      </c>
      <c r="U4" s="63" t="str">
        <f>IF(StatusBranchGrade[[#This Row],[T1]] = 1, COUNTIF($T$3:T4, 1), "")</f>
        <v/>
      </c>
      <c r="V4" s="63" t="str">
        <f>IFERROR(INDEX(StatusBranchGrade[Rank/Grade], MATCH(ROWS($U$3:U4)-1, StatusBranchGrade[T2], 0)), "") &amp; ""</f>
        <v/>
      </c>
      <c r="W4" s="63" t="s">
        <v>294</v>
      </c>
    </row>
    <row r="5" spans="1:23" x14ac:dyDescent="0.25">
      <c r="A5">
        <v>2</v>
      </c>
      <c r="B5" t="s">
        <v>388</v>
      </c>
      <c r="E5" t="str">
        <f>IF(StatusBranchGrade[[#This Row],[Status]] = "CYS", "DoD", StatusBranchGrade[[#This Row],[Rank]] &amp; "")</f>
        <v/>
      </c>
      <c r="G5" t="str">
        <f>IF(StatusBranchGrade[[#This Row],[Rank]] = StatusBranchGrade[[#This Row],[Grade]], StatusBranchGrade[[#This Row],[Rank]], StatusBranchGrade[[#This Row],[Grade]] &amp; "/" &amp; StatusBranchGrade[[#This Row],[Rank]]) &amp; ""</f>
        <v/>
      </c>
      <c r="H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No Spouse/Partner</v>
      </c>
      <c r="I5" s="17" t="str">
        <f>SUBSTITUTE(SUBSTITUTE(SUBSTITUTE(StatusBranchGrade[[#This Row],[Status]] &amp; "  /  " &amp; StatusBranchGrade[[#This Row],[Branch]] &amp; ";", "  /  ;", ";"), "  /  ;", ";"), ";", "")</f>
        <v>No Spouse/Partner</v>
      </c>
      <c r="J5">
        <v>2</v>
      </c>
      <c r="K5" s="17" t="str">
        <f>IF(LEFT(StatusBranchGrade[[#This Row],[Which]], 1) = "1", StatusBranchGrade[[#This Row],[Key]], "")</f>
        <v/>
      </c>
      <c r="L5" s="17" t="str">
        <f>IF(LEFT(StatusBranchGrade[[#This Row],[Which]], 1) = "1", StatusBranchGrade[[#This Row],[Key0]], "")</f>
        <v/>
      </c>
      <c r="M5" s="17" t="str">
        <f>IF(RIGHT(StatusBranchGrade[[#This Row],[Which]], 1) = "2", StatusBranchGrade[[#This Row],[Key]], "")</f>
        <v>No Spouse/Partner</v>
      </c>
      <c r="N5" s="17" t="str">
        <f>IF(RIGHT(StatusBranchGrade[[#This Row],[Which]], 1) = "2", StatusBranchGrade[[#This Row],[Key0]], "")</f>
        <v>No Spouse/Partner</v>
      </c>
      <c r="O5" s="63" t="s">
        <v>303</v>
      </c>
      <c r="P5" s="17"/>
      <c r="Q5" s="63">
        <f>--ISNUMBER(IF(StatusBranchGrade[[#This Row],[Sponsor0]] = 'Calculation Worksheet'!$AV$6 &amp; "  /  " &amp; 'Calculation Worksheet'!$AV$7, 1, ""))</f>
        <v>0</v>
      </c>
      <c r="R5" s="63" t="str">
        <f>IF(StatusBranchGrade[[#This Row],[S1]] = 1, COUNTIF($Q$3:Q5, 1), "")</f>
        <v/>
      </c>
      <c r="S5" s="63" t="str">
        <f>IFERROR(INDEX(StatusBranchGrade[Rank/Grade], MATCH(ROWS($R$3:R5)-1, StatusBranchGrade[S2], 0)), "") &amp; ""</f>
        <v/>
      </c>
      <c r="T5" s="63">
        <f>--ISNUMBER(IF(StatusBranchGrade[[#This Row],[Spouse0]] = 'Calculation Worksheet'!$CG$6 &amp; "  /  " &amp; 'Calculation Worksheet'!$CG$7, 1, ""))</f>
        <v>0</v>
      </c>
      <c r="U5" s="63" t="str">
        <f>IF(StatusBranchGrade[[#This Row],[T1]] = 1, COUNTIF($T$3:T5, 1), "")</f>
        <v/>
      </c>
      <c r="V5" s="63" t="str">
        <f>IFERROR(INDEX(StatusBranchGrade[Rank/Grade], MATCH(ROWS($U$3:U5)-1, StatusBranchGrade[T2], 0)), "") &amp; ""</f>
        <v/>
      </c>
      <c r="W5" s="63" t="s">
        <v>294</v>
      </c>
    </row>
    <row r="6" spans="1:23" x14ac:dyDescent="0.25">
      <c r="A6">
        <v>3</v>
      </c>
      <c r="B6" t="s">
        <v>186</v>
      </c>
      <c r="C6" t="s">
        <v>187</v>
      </c>
      <c r="D6" t="s">
        <v>193</v>
      </c>
      <c r="E6" t="str">
        <f>IF(StatusBranchGrade[[#This Row],[Status]] = "CYS", "DoD", StatusBranchGrade[[#This Row],[Rank]] &amp; "")</f>
        <v>DoD</v>
      </c>
      <c r="F6" t="s">
        <v>193</v>
      </c>
      <c r="G6" t="str">
        <f>IF(StatusBranchGrade[[#This Row],[Rank]] = StatusBranchGrade[[#This Row],[Grade]], StatusBranchGrade[[#This Row],[Rank]], StatusBranchGrade[[#This Row],[Grade]] &amp; "/" &amp; StatusBranchGrade[[#This Row],[Rank]]) &amp; ""</f>
        <v>Admin</v>
      </c>
      <c r="H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Admin</v>
      </c>
      <c r="I6" s="17" t="str">
        <f>SUBSTITUTE(SUBSTITUTE(SUBSTITUTE(StatusBranchGrade[[#This Row],[Status]] &amp; "  /  " &amp; StatusBranchGrade[[#This Row],[Branch]] &amp; ";", "  /  ;", ";"), "  /  ;", ";"), ";", "")</f>
        <v>CYS  /  Base</v>
      </c>
      <c r="J6">
        <v>12</v>
      </c>
      <c r="K6" s="17" t="str">
        <f>IF(LEFT(StatusBranchGrade[[#This Row],[Which]], 1) = "1", StatusBranchGrade[[#This Row],[Key]], "")</f>
        <v>CYS  /  Base  /  Admin</v>
      </c>
      <c r="L6" s="17" t="str">
        <f>IF(LEFT(StatusBranchGrade[[#This Row],[Which]], 1) = "1", StatusBranchGrade[[#This Row],[Key0]], "")</f>
        <v>CYS  /  Base</v>
      </c>
      <c r="M6" s="17" t="str">
        <f>IF(RIGHT(StatusBranchGrade[[#This Row],[Which]], 1) = "2", StatusBranchGrade[[#This Row],[Key]], "")</f>
        <v>CYS  /  Base  /  Admin</v>
      </c>
      <c r="N6" s="17" t="str">
        <f>IF(RIGHT(StatusBranchGrade[[#This Row],[Which]], 1) = "2", StatusBranchGrade[[#This Row],[Key0]], "")</f>
        <v>CYS  /  Base</v>
      </c>
      <c r="O6" s="17" t="s">
        <v>186</v>
      </c>
      <c r="P6" s="54" t="s">
        <v>142</v>
      </c>
      <c r="Q6" s="63">
        <f>--ISNUMBER(IF(StatusBranchGrade[[#This Row],[Sponsor0]] = 'Calculation Worksheet'!$AV$6 &amp; "  /  " &amp; 'Calculation Worksheet'!$AV$7, 1, ""))</f>
        <v>0</v>
      </c>
      <c r="R6" s="63" t="str">
        <f>IF(StatusBranchGrade[[#This Row],[S1]] = 1, COUNTIF($Q$3:Q6, 1), "")</f>
        <v/>
      </c>
      <c r="S6" s="63" t="str">
        <f>IFERROR(INDEX(StatusBranchGrade[Rank/Grade], MATCH(ROWS($R$3:R6)-1, StatusBranchGrade[S2], 0)), "") &amp; ""</f>
        <v/>
      </c>
      <c r="T6" s="63">
        <f>--ISNUMBER(IF(StatusBranchGrade[[#This Row],[Spouse0]] = 'Calculation Worksheet'!$CG$6 &amp; "  /  " &amp; 'Calculation Worksheet'!$CG$7, 1, ""))</f>
        <v>0</v>
      </c>
      <c r="U6" s="63" t="str">
        <f>IF(StatusBranchGrade[[#This Row],[T1]] = 1, COUNTIF($T$3:T6, 1), "")</f>
        <v/>
      </c>
      <c r="V6" s="63" t="str">
        <f>IFERROR(INDEX(StatusBranchGrade[Rank/Grade], MATCH(ROWS($U$3:U6)-1, StatusBranchGrade[T2], 0)), "") &amp; ""</f>
        <v/>
      </c>
      <c r="W6" s="63" t="s">
        <v>210</v>
      </c>
    </row>
    <row r="7" spans="1:23" x14ac:dyDescent="0.25">
      <c r="A7">
        <v>3</v>
      </c>
      <c r="B7" t="s">
        <v>186</v>
      </c>
      <c r="C7" t="s">
        <v>187</v>
      </c>
      <c r="D7" t="s">
        <v>194</v>
      </c>
      <c r="E7" t="str">
        <f>IF(StatusBranchGrade[[#This Row],[Status]] = "CYS", "DoD", StatusBranchGrade[[#This Row],[Rank]] &amp; "")</f>
        <v>DoD</v>
      </c>
      <c r="F7" t="s">
        <v>194</v>
      </c>
      <c r="G7" t="str">
        <f>IF(StatusBranchGrade[[#This Row],[Rank]] = StatusBranchGrade[[#This Row],[Grade]], StatusBranchGrade[[#This Row],[Rank]], StatusBranchGrade[[#This Row],[Grade]] &amp; "/" &amp; StatusBranchGrade[[#This Row],[Rank]]) &amp; ""</f>
        <v>Classroom</v>
      </c>
      <c r="H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Classroom</v>
      </c>
      <c r="I7" s="17" t="str">
        <f>SUBSTITUTE(SUBSTITUTE(SUBSTITUTE(StatusBranchGrade[[#This Row],[Status]] &amp; "  /  " &amp; StatusBranchGrade[[#This Row],[Branch]] &amp; ";", "  /  ;", ";"), "  /  ;", ";"), ";", "")</f>
        <v>CYS  /  Base</v>
      </c>
      <c r="J7">
        <v>12</v>
      </c>
      <c r="K7" s="17" t="str">
        <f>IF(LEFT(StatusBranchGrade[[#This Row],[Which]], 1) = "1", StatusBranchGrade[[#This Row],[Key]], "")</f>
        <v>CYS  /  Base  /  Classroom</v>
      </c>
      <c r="L7" s="17" t="str">
        <f>IF(LEFT(StatusBranchGrade[[#This Row],[Which]], 1) = "1", StatusBranchGrade[[#This Row],[Key0]], "")</f>
        <v>CYS  /  Base</v>
      </c>
      <c r="M7" s="17" t="str">
        <f>IF(RIGHT(StatusBranchGrade[[#This Row],[Which]], 1) = "2", StatusBranchGrade[[#This Row],[Key]], "")</f>
        <v>CYS  /  Base  /  Classroom</v>
      </c>
      <c r="N7" s="17" t="str">
        <f>IF(RIGHT(StatusBranchGrade[[#This Row],[Which]], 1) = "2", StatusBranchGrade[[#This Row],[Key0]], "")</f>
        <v>CYS  /  Base</v>
      </c>
      <c r="O7" s="17" t="s">
        <v>186</v>
      </c>
      <c r="P7" s="54" t="s">
        <v>142</v>
      </c>
      <c r="Q7" s="63">
        <f>--ISNUMBER(IF(StatusBranchGrade[[#This Row],[Sponsor0]] = 'Calculation Worksheet'!$AV$6 &amp; "  /  " &amp; 'Calculation Worksheet'!$AV$7, 1, ""))</f>
        <v>0</v>
      </c>
      <c r="R7" s="63" t="str">
        <f>IF(StatusBranchGrade[[#This Row],[S1]] = 1, COUNTIF($Q$3:Q7, 1), "")</f>
        <v/>
      </c>
      <c r="S7" s="63" t="str">
        <f>IFERROR(INDEX(StatusBranchGrade[Rank/Grade], MATCH(ROWS($R$3:R7)-1, StatusBranchGrade[S2], 0)), "") &amp; ""</f>
        <v/>
      </c>
      <c r="T7" s="63">
        <f>--ISNUMBER(IF(StatusBranchGrade[[#This Row],[Spouse0]] = 'Calculation Worksheet'!$CG$6 &amp; "  /  " &amp; 'Calculation Worksheet'!$CG$7, 1, ""))</f>
        <v>0</v>
      </c>
      <c r="U7" s="63" t="str">
        <f>IF(StatusBranchGrade[[#This Row],[T1]] = 1, COUNTIF($T$3:T7, 1), "")</f>
        <v/>
      </c>
      <c r="V7" s="63" t="str">
        <f>IFERROR(INDEX(StatusBranchGrade[Rank/Grade], MATCH(ROWS($U$3:U7)-1, StatusBranchGrade[T2], 0)), "") &amp; ""</f>
        <v/>
      </c>
      <c r="W7" s="63"/>
    </row>
    <row r="8" spans="1:23" x14ac:dyDescent="0.25">
      <c r="A8">
        <v>3</v>
      </c>
      <c r="B8" t="s">
        <v>186</v>
      </c>
      <c r="C8" t="s">
        <v>187</v>
      </c>
      <c r="D8" t="s">
        <v>195</v>
      </c>
      <c r="E8" t="str">
        <f>IF(StatusBranchGrade[[#This Row],[Status]] = "CYS", "DoD", StatusBranchGrade[[#This Row],[Rank]] &amp; "")</f>
        <v>DoD</v>
      </c>
      <c r="F8" t="s">
        <v>195</v>
      </c>
      <c r="G8" t="str">
        <f>IF(StatusBranchGrade[[#This Row],[Rank]] = StatusBranchGrade[[#This Row],[Grade]], StatusBranchGrade[[#This Row],[Rank]], StatusBranchGrade[[#This Row],[Grade]] &amp; "/" &amp; StatusBranchGrade[[#This Row],[Rank]]) &amp; ""</f>
        <v>Food</v>
      </c>
      <c r="H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Food</v>
      </c>
      <c r="I8" s="17" t="str">
        <f>SUBSTITUTE(SUBSTITUTE(SUBSTITUTE(StatusBranchGrade[[#This Row],[Status]] &amp; "  /  " &amp; StatusBranchGrade[[#This Row],[Branch]] &amp; ";", "  /  ;", ";"), "  /  ;", ";"), ";", "")</f>
        <v>CYS  /  Base</v>
      </c>
      <c r="J8">
        <v>12</v>
      </c>
      <c r="K8" s="17" t="str">
        <f>IF(LEFT(StatusBranchGrade[[#This Row],[Which]], 1) = "1", StatusBranchGrade[[#This Row],[Key]], "")</f>
        <v>CYS  /  Base  /  Food</v>
      </c>
      <c r="L8" s="17" t="str">
        <f>IF(LEFT(StatusBranchGrade[[#This Row],[Which]], 1) = "1", StatusBranchGrade[[#This Row],[Key0]], "")</f>
        <v>CYS  /  Base</v>
      </c>
      <c r="M8" s="17" t="str">
        <f>IF(RIGHT(StatusBranchGrade[[#This Row],[Which]], 1) = "2", StatusBranchGrade[[#This Row],[Key]], "")</f>
        <v>CYS  /  Base  /  Food</v>
      </c>
      <c r="N8" s="17" t="str">
        <f>IF(RIGHT(StatusBranchGrade[[#This Row],[Which]], 1) = "2", StatusBranchGrade[[#This Row],[Key0]], "")</f>
        <v>CYS  /  Base</v>
      </c>
      <c r="O8" s="17" t="s">
        <v>186</v>
      </c>
      <c r="P8" s="54" t="s">
        <v>142</v>
      </c>
      <c r="Q8" s="63">
        <f>--ISNUMBER(IF(StatusBranchGrade[[#This Row],[Sponsor0]] = 'Calculation Worksheet'!$AV$6 &amp; "  /  " &amp; 'Calculation Worksheet'!$AV$7, 1, ""))</f>
        <v>0</v>
      </c>
      <c r="R8" s="63" t="str">
        <f>IF(StatusBranchGrade[[#This Row],[S1]] = 1, COUNTIF($Q$3:Q8, 1), "")</f>
        <v/>
      </c>
      <c r="S8" s="63" t="str">
        <f>IFERROR(INDEX(StatusBranchGrade[Rank/Grade], MATCH(ROWS($R$3:R8)-1, StatusBranchGrade[S2], 0)), "") &amp; ""</f>
        <v/>
      </c>
      <c r="T8" s="63">
        <f>--ISNUMBER(IF(StatusBranchGrade[[#This Row],[Spouse0]] = 'Calculation Worksheet'!$CG$6 &amp; "  /  " &amp; 'Calculation Worksheet'!$CG$7, 1, ""))</f>
        <v>0</v>
      </c>
      <c r="U8" s="63" t="str">
        <f>IF(StatusBranchGrade[[#This Row],[T1]] = 1, COUNTIF($T$3:T8, 1), "")</f>
        <v/>
      </c>
      <c r="V8" s="63" t="str">
        <f>IFERROR(INDEX(StatusBranchGrade[Rank/Grade], MATCH(ROWS($U$3:U8)-1, StatusBranchGrade[T2], 0)), "") &amp; ""</f>
        <v/>
      </c>
      <c r="W8" s="63"/>
    </row>
    <row r="9" spans="1:23" x14ac:dyDescent="0.25">
      <c r="A9">
        <v>3</v>
      </c>
      <c r="B9" t="s">
        <v>186</v>
      </c>
      <c r="C9" t="s">
        <v>187</v>
      </c>
      <c r="D9" t="s">
        <v>196</v>
      </c>
      <c r="E9" t="str">
        <f>IF(StatusBranchGrade[[#This Row],[Status]] = "CYS", "DoD", StatusBranchGrade[[#This Row],[Rank]] &amp; "")</f>
        <v>DoD</v>
      </c>
      <c r="F9" t="s">
        <v>196</v>
      </c>
      <c r="G9" t="str">
        <f>IF(StatusBranchGrade[[#This Row],[Rank]] = StatusBranchGrade[[#This Row],[Grade]], StatusBranchGrade[[#This Row],[Rank]], StatusBranchGrade[[#This Row],[Grade]] &amp; "/" &amp; StatusBranchGrade[[#This Row],[Rank]]) &amp; ""</f>
        <v>Mgmt</v>
      </c>
      <c r="H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Mgmt</v>
      </c>
      <c r="I9" s="17" t="str">
        <f>SUBSTITUTE(SUBSTITUTE(SUBSTITUTE(StatusBranchGrade[[#This Row],[Status]] &amp; "  /  " &amp; StatusBranchGrade[[#This Row],[Branch]] &amp; ";", "  /  ;", ";"), "  /  ;", ";"), ";", "")</f>
        <v>CYS  /  Base</v>
      </c>
      <c r="J9">
        <v>12</v>
      </c>
      <c r="K9" s="17" t="str">
        <f>IF(LEFT(StatusBranchGrade[[#This Row],[Which]], 1) = "1", StatusBranchGrade[[#This Row],[Key]], "")</f>
        <v>CYS  /  Base  /  Mgmt</v>
      </c>
      <c r="L9" s="17" t="str">
        <f>IF(LEFT(StatusBranchGrade[[#This Row],[Which]], 1) = "1", StatusBranchGrade[[#This Row],[Key0]], "")</f>
        <v>CYS  /  Base</v>
      </c>
      <c r="M9" s="17" t="str">
        <f>IF(RIGHT(StatusBranchGrade[[#This Row],[Which]], 1) = "2", StatusBranchGrade[[#This Row],[Key]], "")</f>
        <v>CYS  /  Base  /  Mgmt</v>
      </c>
      <c r="N9" s="17" t="str">
        <f>IF(RIGHT(StatusBranchGrade[[#This Row],[Which]], 1) = "2", StatusBranchGrade[[#This Row],[Key0]], "")</f>
        <v>CYS  /  Base</v>
      </c>
      <c r="O9" s="17" t="s">
        <v>186</v>
      </c>
      <c r="P9" s="54" t="s">
        <v>142</v>
      </c>
      <c r="Q9" s="63">
        <f>--ISNUMBER(IF(StatusBranchGrade[[#This Row],[Sponsor0]] = 'Calculation Worksheet'!$AV$6 &amp; "  /  " &amp; 'Calculation Worksheet'!$AV$7, 1, ""))</f>
        <v>0</v>
      </c>
      <c r="R9" s="63" t="str">
        <f>IF(StatusBranchGrade[[#This Row],[S1]] = 1, COUNTIF($Q$3:Q9, 1), "")</f>
        <v/>
      </c>
      <c r="S9" s="63" t="str">
        <f>IFERROR(INDEX(StatusBranchGrade[Rank/Grade], MATCH(ROWS($R$3:R9)-1, StatusBranchGrade[S2], 0)), "") &amp; ""</f>
        <v/>
      </c>
      <c r="T9" s="63">
        <f>--ISNUMBER(IF(StatusBranchGrade[[#This Row],[Spouse0]] = 'Calculation Worksheet'!$CG$6 &amp; "  /  " &amp; 'Calculation Worksheet'!$CG$7, 1, ""))</f>
        <v>0</v>
      </c>
      <c r="U9" s="63" t="str">
        <f>IF(StatusBranchGrade[[#This Row],[T1]] = 1, COUNTIF($T$3:T9, 1), "")</f>
        <v/>
      </c>
      <c r="V9" s="63" t="str">
        <f>IFERROR(INDEX(StatusBranchGrade[Rank/Grade], MATCH(ROWS($U$3:U9)-1, StatusBranchGrade[T2], 0)), "") &amp; ""</f>
        <v/>
      </c>
      <c r="W9" s="63"/>
    </row>
    <row r="10" spans="1:23" x14ac:dyDescent="0.25">
      <c r="A10">
        <v>3</v>
      </c>
      <c r="B10" t="s">
        <v>186</v>
      </c>
      <c r="C10" t="s">
        <v>187</v>
      </c>
      <c r="D10" t="s">
        <v>197</v>
      </c>
      <c r="E10" t="str">
        <f>IF(StatusBranchGrade[[#This Row],[Status]] = "CYS", "DoD", StatusBranchGrade[[#This Row],[Rank]] &amp; "")</f>
        <v>DoD</v>
      </c>
      <c r="F10" t="s">
        <v>197</v>
      </c>
      <c r="G10" t="str">
        <f>IF(StatusBranchGrade[[#This Row],[Rank]] = StatusBranchGrade[[#This Row],[Grade]], StatusBranchGrade[[#This Row],[Rank]], StatusBranchGrade[[#This Row],[Grade]] &amp; "/" &amp; StatusBranchGrade[[#This Row],[Rank]]) &amp; ""</f>
        <v>Support</v>
      </c>
      <c r="H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Support</v>
      </c>
      <c r="I10" s="17" t="str">
        <f>SUBSTITUTE(SUBSTITUTE(SUBSTITUTE(StatusBranchGrade[[#This Row],[Status]] &amp; "  /  " &amp; StatusBranchGrade[[#This Row],[Branch]] &amp; ";", "  /  ;", ";"), "  /  ;", ";"), ";", "")</f>
        <v>CYS  /  Base</v>
      </c>
      <c r="J10">
        <v>12</v>
      </c>
      <c r="K10" s="17" t="str">
        <f>IF(LEFT(StatusBranchGrade[[#This Row],[Which]], 1) = "1", StatusBranchGrade[[#This Row],[Key]], "")</f>
        <v>CYS  /  Base  /  Support</v>
      </c>
      <c r="L10" s="17" t="str">
        <f>IF(LEFT(StatusBranchGrade[[#This Row],[Which]], 1) = "1", StatusBranchGrade[[#This Row],[Key0]], "")</f>
        <v>CYS  /  Base</v>
      </c>
      <c r="M10" s="17" t="str">
        <f>IF(RIGHT(StatusBranchGrade[[#This Row],[Which]], 1) = "2", StatusBranchGrade[[#This Row],[Key]], "")</f>
        <v>CYS  /  Base  /  Support</v>
      </c>
      <c r="N10" s="17" t="str">
        <f>IF(RIGHT(StatusBranchGrade[[#This Row],[Which]], 1) = "2", StatusBranchGrade[[#This Row],[Key0]], "")</f>
        <v>CYS  /  Base</v>
      </c>
      <c r="O10" s="17" t="s">
        <v>186</v>
      </c>
      <c r="P10" s="54" t="s">
        <v>142</v>
      </c>
      <c r="Q10" s="63">
        <f>--ISNUMBER(IF(StatusBranchGrade[[#This Row],[Sponsor0]] = 'Calculation Worksheet'!$AV$6 &amp; "  /  " &amp; 'Calculation Worksheet'!$AV$7, 1, ""))</f>
        <v>0</v>
      </c>
      <c r="R10" s="63" t="str">
        <f>IF(StatusBranchGrade[[#This Row],[S1]] = 1, COUNTIF($Q$3:Q10, 1), "")</f>
        <v/>
      </c>
      <c r="S10" s="63" t="str">
        <f>IFERROR(INDEX(StatusBranchGrade[Rank/Grade], MATCH(ROWS($R$3:R10)-1, StatusBranchGrade[S2], 0)), "") &amp; ""</f>
        <v/>
      </c>
      <c r="T10" s="63">
        <f>--ISNUMBER(IF(StatusBranchGrade[[#This Row],[Spouse0]] = 'Calculation Worksheet'!$CG$6 &amp; "  /  " &amp; 'Calculation Worksheet'!$CG$7, 1, ""))</f>
        <v>0</v>
      </c>
      <c r="U10" s="63" t="str">
        <f>IF(StatusBranchGrade[[#This Row],[T1]] = 1, COUNTIF($T$3:T10, 1), "")</f>
        <v/>
      </c>
      <c r="V10" s="63" t="str">
        <f>IFERROR(INDEX(StatusBranchGrade[Rank/Grade], MATCH(ROWS($U$3:U10)-1, StatusBranchGrade[T2], 0)), "") &amp; ""</f>
        <v/>
      </c>
      <c r="W10" s="63"/>
    </row>
    <row r="11" spans="1:23" x14ac:dyDescent="0.25">
      <c r="A11">
        <v>3</v>
      </c>
      <c r="B11" t="s">
        <v>186</v>
      </c>
      <c r="C11" t="s">
        <v>187</v>
      </c>
      <c r="D11" t="s">
        <v>198</v>
      </c>
      <c r="E11" t="str">
        <f>IF(StatusBranchGrade[[#This Row],[Status]] = "CYS", "DoD", StatusBranchGrade[[#This Row],[Rank]] &amp; "")</f>
        <v>DoD</v>
      </c>
      <c r="F11" t="s">
        <v>198</v>
      </c>
      <c r="G11" t="str">
        <f>IF(StatusBranchGrade[[#This Row],[Rank]] = StatusBranchGrade[[#This Row],[Grade]], StatusBranchGrade[[#This Row],[Rank]], StatusBranchGrade[[#This Row],[Grade]] &amp; "/" &amp; StatusBranchGrade[[#This Row],[Rank]]) &amp; ""</f>
        <v>Trainer</v>
      </c>
      <c r="H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Base  /  Trainer</v>
      </c>
      <c r="I11" s="17" t="str">
        <f>SUBSTITUTE(SUBSTITUTE(SUBSTITUTE(StatusBranchGrade[[#This Row],[Status]] &amp; "  /  " &amp; StatusBranchGrade[[#This Row],[Branch]] &amp; ";", "  /  ;", ";"), "  /  ;", ";"), ";", "")</f>
        <v>CYS  /  Base</v>
      </c>
      <c r="J11">
        <v>12</v>
      </c>
      <c r="K11" s="17" t="str">
        <f>IF(LEFT(StatusBranchGrade[[#This Row],[Which]], 1) = "1", StatusBranchGrade[[#This Row],[Key]], "")</f>
        <v>CYS  /  Base  /  Trainer</v>
      </c>
      <c r="L11" s="17" t="str">
        <f>IF(LEFT(StatusBranchGrade[[#This Row],[Which]], 1) = "1", StatusBranchGrade[[#This Row],[Key0]], "")</f>
        <v>CYS  /  Base</v>
      </c>
      <c r="M11" s="17" t="str">
        <f>IF(RIGHT(StatusBranchGrade[[#This Row],[Which]], 1) = "2", StatusBranchGrade[[#This Row],[Key]], "")</f>
        <v>CYS  /  Base  /  Trainer</v>
      </c>
      <c r="N11" s="17" t="str">
        <f>IF(RIGHT(StatusBranchGrade[[#This Row],[Which]], 1) = "2", StatusBranchGrade[[#This Row],[Key0]], "")</f>
        <v>CYS  /  Base</v>
      </c>
      <c r="O11" s="17" t="s">
        <v>186</v>
      </c>
      <c r="P11" s="54" t="s">
        <v>142</v>
      </c>
      <c r="Q11" s="63">
        <f>--ISNUMBER(IF(StatusBranchGrade[[#This Row],[Sponsor0]] = 'Calculation Worksheet'!$AV$6 &amp; "  /  " &amp; 'Calculation Worksheet'!$AV$7, 1, ""))</f>
        <v>0</v>
      </c>
      <c r="R11" s="63" t="str">
        <f>IF(StatusBranchGrade[[#This Row],[S1]] = 1, COUNTIF($Q$3:Q11, 1), "")</f>
        <v/>
      </c>
      <c r="S11" s="63" t="str">
        <f>IFERROR(INDEX(StatusBranchGrade[Rank/Grade], MATCH(ROWS($R$3:R11)-1, StatusBranchGrade[S2], 0)), "") &amp; ""</f>
        <v/>
      </c>
      <c r="T11" s="63">
        <f>--ISNUMBER(IF(StatusBranchGrade[[#This Row],[Spouse0]] = 'Calculation Worksheet'!$CG$6 &amp; "  /  " &amp; 'Calculation Worksheet'!$CG$7, 1, ""))</f>
        <v>0</v>
      </c>
      <c r="U11" s="63" t="str">
        <f>IF(StatusBranchGrade[[#This Row],[T1]] = 1, COUNTIF($T$3:T11, 1), "")</f>
        <v/>
      </c>
      <c r="V11" s="63" t="str">
        <f>IFERROR(INDEX(StatusBranchGrade[Rank/Grade], MATCH(ROWS($U$3:U11)-1, StatusBranchGrade[T2], 0)), "") &amp; ""</f>
        <v/>
      </c>
      <c r="W11" s="63"/>
    </row>
    <row r="12" spans="1:23" x14ac:dyDescent="0.25">
      <c r="A12">
        <v>3</v>
      </c>
      <c r="B12" t="s">
        <v>186</v>
      </c>
      <c r="C12" t="s">
        <v>188</v>
      </c>
      <c r="D12" t="s">
        <v>193</v>
      </c>
      <c r="E12" t="str">
        <f>IF(StatusBranchGrade[[#This Row],[Status]] = "CYS", "DoD", StatusBranchGrade[[#This Row],[Rank]] &amp; "")</f>
        <v>DoD</v>
      </c>
      <c r="F12" t="s">
        <v>193</v>
      </c>
      <c r="G12" t="str">
        <f>IF(StatusBranchGrade[[#This Row],[Rank]] = StatusBranchGrade[[#This Row],[Grade]], StatusBranchGrade[[#This Row],[Rank]], StatusBranchGrade[[#This Row],[Grade]] &amp; "/" &amp; StatusBranchGrade[[#This Row],[Rank]]) &amp; ""</f>
        <v>Admin</v>
      </c>
      <c r="H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Admin</v>
      </c>
      <c r="I12" s="17" t="str">
        <f>SUBSTITUTE(SUBSTITUTE(SUBSTITUTE(StatusBranchGrade[[#This Row],[Status]] &amp; "  /  " &amp; StatusBranchGrade[[#This Row],[Branch]] &amp; ";", "  /  ;", ";"), "  /  ;", ";"), ";", "")</f>
        <v>CYS  /  CDC</v>
      </c>
      <c r="J12">
        <v>12</v>
      </c>
      <c r="K12" s="17" t="str">
        <f>IF(LEFT(StatusBranchGrade[[#This Row],[Which]], 1) = "1", StatusBranchGrade[[#This Row],[Key]], "")</f>
        <v>CYS  /  CDC  /  Admin</v>
      </c>
      <c r="L12" s="17" t="str">
        <f>IF(LEFT(StatusBranchGrade[[#This Row],[Which]], 1) = "1", StatusBranchGrade[[#This Row],[Key0]], "")</f>
        <v>CYS  /  CDC</v>
      </c>
      <c r="M12" s="17" t="str">
        <f>IF(RIGHT(StatusBranchGrade[[#This Row],[Which]], 1) = "2", StatusBranchGrade[[#This Row],[Key]], "")</f>
        <v>CYS  /  CDC  /  Admin</v>
      </c>
      <c r="N12" s="17" t="str">
        <f>IF(RIGHT(StatusBranchGrade[[#This Row],[Which]], 1) = "2", StatusBranchGrade[[#This Row],[Key0]], "")</f>
        <v>CYS  /  CDC</v>
      </c>
      <c r="O12" s="17" t="s">
        <v>186</v>
      </c>
      <c r="P12" s="55" t="s">
        <v>142</v>
      </c>
      <c r="Q12" s="63">
        <f>--ISNUMBER(IF(StatusBranchGrade[[#This Row],[Sponsor0]] = 'Calculation Worksheet'!$AV$6 &amp; "  /  " &amp; 'Calculation Worksheet'!$AV$7, 1, ""))</f>
        <v>0</v>
      </c>
      <c r="R12" s="63" t="str">
        <f>IF(StatusBranchGrade[[#This Row],[S1]] = 1, COUNTIF($Q$3:Q12, 1), "")</f>
        <v/>
      </c>
      <c r="S12" s="63" t="str">
        <f>IFERROR(INDEX(StatusBranchGrade[Rank/Grade], MATCH(ROWS($R$3:R12)-1, StatusBranchGrade[S2], 0)), "") &amp; ""</f>
        <v/>
      </c>
      <c r="T12" s="63">
        <f>--ISNUMBER(IF(StatusBranchGrade[[#This Row],[Spouse0]] = 'Calculation Worksheet'!$CG$6 &amp; "  /  " &amp; 'Calculation Worksheet'!$CG$7, 1, ""))</f>
        <v>0</v>
      </c>
      <c r="U12" s="63" t="str">
        <f>IF(StatusBranchGrade[[#This Row],[T1]] = 1, COUNTIF($T$3:T12, 1), "")</f>
        <v/>
      </c>
      <c r="V12" s="63" t="str">
        <f>IFERROR(INDEX(StatusBranchGrade[Rank/Grade], MATCH(ROWS($U$3:U12)-1, StatusBranchGrade[T2], 0)), "") &amp; ""</f>
        <v/>
      </c>
      <c r="W12" s="63"/>
    </row>
    <row r="13" spans="1:23" x14ac:dyDescent="0.25">
      <c r="A13">
        <v>3</v>
      </c>
      <c r="B13" t="s">
        <v>186</v>
      </c>
      <c r="C13" t="s">
        <v>188</v>
      </c>
      <c r="D13" t="s">
        <v>194</v>
      </c>
      <c r="E13" t="str">
        <f>IF(StatusBranchGrade[[#This Row],[Status]] = "CYS", "DoD", StatusBranchGrade[[#This Row],[Rank]] &amp; "")</f>
        <v>DoD</v>
      </c>
      <c r="F13" t="s">
        <v>194</v>
      </c>
      <c r="G13" t="str">
        <f>IF(StatusBranchGrade[[#This Row],[Rank]] = StatusBranchGrade[[#This Row],[Grade]], StatusBranchGrade[[#This Row],[Rank]], StatusBranchGrade[[#This Row],[Grade]] &amp; "/" &amp; StatusBranchGrade[[#This Row],[Rank]]) &amp; ""</f>
        <v>Classroom</v>
      </c>
      <c r="H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Classroom</v>
      </c>
      <c r="I13" s="17" t="str">
        <f>SUBSTITUTE(SUBSTITUTE(SUBSTITUTE(StatusBranchGrade[[#This Row],[Status]] &amp; "  /  " &amp; StatusBranchGrade[[#This Row],[Branch]] &amp; ";", "  /  ;", ";"), "  /  ;", ";"), ";", "")</f>
        <v>CYS  /  CDC</v>
      </c>
      <c r="J13">
        <v>12</v>
      </c>
      <c r="K13" s="17" t="str">
        <f>IF(LEFT(StatusBranchGrade[[#This Row],[Which]], 1) = "1", StatusBranchGrade[[#This Row],[Key]], "")</f>
        <v>CYS  /  CDC  /  Classroom</v>
      </c>
      <c r="L13" s="17" t="str">
        <f>IF(LEFT(StatusBranchGrade[[#This Row],[Which]], 1) = "1", StatusBranchGrade[[#This Row],[Key0]], "")</f>
        <v>CYS  /  CDC</v>
      </c>
      <c r="M13" s="17" t="str">
        <f>IF(RIGHT(StatusBranchGrade[[#This Row],[Which]], 1) = "2", StatusBranchGrade[[#This Row],[Key]], "")</f>
        <v>CYS  /  CDC  /  Classroom</v>
      </c>
      <c r="N13" s="17" t="str">
        <f>IF(RIGHT(StatusBranchGrade[[#This Row],[Which]], 1) = "2", StatusBranchGrade[[#This Row],[Key0]], "")</f>
        <v>CYS  /  CDC</v>
      </c>
      <c r="O13" s="17" t="s">
        <v>186</v>
      </c>
      <c r="P13" s="55" t="s">
        <v>142</v>
      </c>
      <c r="Q13" s="63">
        <f>--ISNUMBER(IF(StatusBranchGrade[[#This Row],[Sponsor0]] = 'Calculation Worksheet'!$AV$6 &amp; "  /  " &amp; 'Calculation Worksheet'!$AV$7, 1, ""))</f>
        <v>0</v>
      </c>
      <c r="R13" s="63" t="str">
        <f>IF(StatusBranchGrade[[#This Row],[S1]] = 1, COUNTIF($Q$3:Q13, 1), "")</f>
        <v/>
      </c>
      <c r="S13" s="63" t="str">
        <f>IFERROR(INDEX(StatusBranchGrade[Rank/Grade], MATCH(ROWS($R$3:R13)-1, StatusBranchGrade[S2], 0)), "") &amp; ""</f>
        <v/>
      </c>
      <c r="T13" s="63">
        <f>--ISNUMBER(IF(StatusBranchGrade[[#This Row],[Spouse0]] = 'Calculation Worksheet'!$CG$6 &amp; "  /  " &amp; 'Calculation Worksheet'!$CG$7, 1, ""))</f>
        <v>0</v>
      </c>
      <c r="U13" s="63" t="str">
        <f>IF(StatusBranchGrade[[#This Row],[T1]] = 1, COUNTIF($T$3:T13, 1), "")</f>
        <v/>
      </c>
      <c r="V13" s="63" t="str">
        <f>IFERROR(INDEX(StatusBranchGrade[Rank/Grade], MATCH(ROWS($U$3:U13)-1, StatusBranchGrade[T2], 0)), "") &amp; ""</f>
        <v/>
      </c>
      <c r="W13" s="63"/>
    </row>
    <row r="14" spans="1:23" x14ac:dyDescent="0.25">
      <c r="A14">
        <v>3</v>
      </c>
      <c r="B14" t="s">
        <v>186</v>
      </c>
      <c r="C14" t="s">
        <v>188</v>
      </c>
      <c r="D14" t="s">
        <v>195</v>
      </c>
      <c r="E14" t="str">
        <f>IF(StatusBranchGrade[[#This Row],[Status]] = "CYS", "DoD", StatusBranchGrade[[#This Row],[Rank]] &amp; "")</f>
        <v>DoD</v>
      </c>
      <c r="F14" t="s">
        <v>195</v>
      </c>
      <c r="G14" t="str">
        <f>IF(StatusBranchGrade[[#This Row],[Rank]] = StatusBranchGrade[[#This Row],[Grade]], StatusBranchGrade[[#This Row],[Rank]], StatusBranchGrade[[#This Row],[Grade]] &amp; "/" &amp; StatusBranchGrade[[#This Row],[Rank]]) &amp; ""</f>
        <v>Food</v>
      </c>
      <c r="H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Food</v>
      </c>
      <c r="I14" s="17" t="str">
        <f>SUBSTITUTE(SUBSTITUTE(SUBSTITUTE(StatusBranchGrade[[#This Row],[Status]] &amp; "  /  " &amp; StatusBranchGrade[[#This Row],[Branch]] &amp; ";", "  /  ;", ";"), "  /  ;", ";"), ";", "")</f>
        <v>CYS  /  CDC</v>
      </c>
      <c r="J14">
        <v>12</v>
      </c>
      <c r="K14" s="17" t="str">
        <f>IF(LEFT(StatusBranchGrade[[#This Row],[Which]], 1) = "1", StatusBranchGrade[[#This Row],[Key]], "")</f>
        <v>CYS  /  CDC  /  Food</v>
      </c>
      <c r="L14" s="17" t="str">
        <f>IF(LEFT(StatusBranchGrade[[#This Row],[Which]], 1) = "1", StatusBranchGrade[[#This Row],[Key0]], "")</f>
        <v>CYS  /  CDC</v>
      </c>
      <c r="M14" s="17" t="str">
        <f>IF(RIGHT(StatusBranchGrade[[#This Row],[Which]], 1) = "2", StatusBranchGrade[[#This Row],[Key]], "")</f>
        <v>CYS  /  CDC  /  Food</v>
      </c>
      <c r="N14" s="17" t="str">
        <f>IF(RIGHT(StatusBranchGrade[[#This Row],[Which]], 1) = "2", StatusBranchGrade[[#This Row],[Key0]], "")</f>
        <v>CYS  /  CDC</v>
      </c>
      <c r="O14" s="17" t="s">
        <v>186</v>
      </c>
      <c r="P14" s="55" t="s">
        <v>142</v>
      </c>
      <c r="Q14" s="63">
        <f>--ISNUMBER(IF(StatusBranchGrade[[#This Row],[Sponsor0]] = 'Calculation Worksheet'!$AV$6 &amp; "  /  " &amp; 'Calculation Worksheet'!$AV$7, 1, ""))</f>
        <v>0</v>
      </c>
      <c r="R14" s="63" t="str">
        <f>IF(StatusBranchGrade[[#This Row],[S1]] = 1, COUNTIF($Q$3:Q14, 1), "")</f>
        <v/>
      </c>
      <c r="S14" s="63" t="str">
        <f>IFERROR(INDEX(StatusBranchGrade[Rank/Grade], MATCH(ROWS($R$3:R14)-1, StatusBranchGrade[S2], 0)), "") &amp; ""</f>
        <v/>
      </c>
      <c r="T14" s="63">
        <f>--ISNUMBER(IF(StatusBranchGrade[[#This Row],[Spouse0]] = 'Calculation Worksheet'!$CG$6 &amp; "  /  " &amp; 'Calculation Worksheet'!$CG$7, 1, ""))</f>
        <v>0</v>
      </c>
      <c r="U14" s="63" t="str">
        <f>IF(StatusBranchGrade[[#This Row],[T1]] = 1, COUNTIF($T$3:T14, 1), "")</f>
        <v/>
      </c>
      <c r="V14" s="63" t="str">
        <f>IFERROR(INDEX(StatusBranchGrade[Rank/Grade], MATCH(ROWS($U$3:U14)-1, StatusBranchGrade[T2], 0)), "") &amp; ""</f>
        <v/>
      </c>
      <c r="W14" s="63"/>
    </row>
    <row r="15" spans="1:23" x14ac:dyDescent="0.25">
      <c r="A15">
        <v>3</v>
      </c>
      <c r="B15" t="s">
        <v>186</v>
      </c>
      <c r="C15" t="s">
        <v>188</v>
      </c>
      <c r="D15" t="s">
        <v>196</v>
      </c>
      <c r="E15" t="str">
        <f>IF(StatusBranchGrade[[#This Row],[Status]] = "CYS", "DoD", StatusBranchGrade[[#This Row],[Rank]] &amp; "")</f>
        <v>DoD</v>
      </c>
      <c r="F15" t="s">
        <v>196</v>
      </c>
      <c r="G15" t="str">
        <f>IF(StatusBranchGrade[[#This Row],[Rank]] = StatusBranchGrade[[#This Row],[Grade]], StatusBranchGrade[[#This Row],[Rank]], StatusBranchGrade[[#This Row],[Grade]] &amp; "/" &amp; StatusBranchGrade[[#This Row],[Rank]]) &amp; ""</f>
        <v>Mgmt</v>
      </c>
      <c r="H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Mgmt</v>
      </c>
      <c r="I15" s="17" t="str">
        <f>SUBSTITUTE(SUBSTITUTE(SUBSTITUTE(StatusBranchGrade[[#This Row],[Status]] &amp; "  /  " &amp; StatusBranchGrade[[#This Row],[Branch]] &amp; ";", "  /  ;", ";"), "  /  ;", ";"), ";", "")</f>
        <v>CYS  /  CDC</v>
      </c>
      <c r="J15">
        <v>12</v>
      </c>
      <c r="K15" s="17" t="str">
        <f>IF(LEFT(StatusBranchGrade[[#This Row],[Which]], 1) = "1", StatusBranchGrade[[#This Row],[Key]], "")</f>
        <v>CYS  /  CDC  /  Mgmt</v>
      </c>
      <c r="L15" s="17" t="str">
        <f>IF(LEFT(StatusBranchGrade[[#This Row],[Which]], 1) = "1", StatusBranchGrade[[#This Row],[Key0]], "")</f>
        <v>CYS  /  CDC</v>
      </c>
      <c r="M15" s="17" t="str">
        <f>IF(RIGHT(StatusBranchGrade[[#This Row],[Which]], 1) = "2", StatusBranchGrade[[#This Row],[Key]], "")</f>
        <v>CYS  /  CDC  /  Mgmt</v>
      </c>
      <c r="N15" s="17" t="str">
        <f>IF(RIGHT(StatusBranchGrade[[#This Row],[Which]], 1) = "2", StatusBranchGrade[[#This Row],[Key0]], "")</f>
        <v>CYS  /  CDC</v>
      </c>
      <c r="O15" s="17" t="s">
        <v>186</v>
      </c>
      <c r="P15" s="55" t="s">
        <v>142</v>
      </c>
      <c r="Q15" s="63">
        <f>--ISNUMBER(IF(StatusBranchGrade[[#This Row],[Sponsor0]] = 'Calculation Worksheet'!$AV$6 &amp; "  /  " &amp; 'Calculation Worksheet'!$AV$7, 1, ""))</f>
        <v>0</v>
      </c>
      <c r="R15" s="63" t="str">
        <f>IF(StatusBranchGrade[[#This Row],[S1]] = 1, COUNTIF($Q$3:Q15, 1), "")</f>
        <v/>
      </c>
      <c r="S15" s="63" t="str">
        <f>IFERROR(INDEX(StatusBranchGrade[Rank/Grade], MATCH(ROWS($R$3:R15)-1, StatusBranchGrade[S2], 0)), "") &amp; ""</f>
        <v/>
      </c>
      <c r="T15" s="63">
        <f>--ISNUMBER(IF(StatusBranchGrade[[#This Row],[Spouse0]] = 'Calculation Worksheet'!$CG$6 &amp; "  /  " &amp; 'Calculation Worksheet'!$CG$7, 1, ""))</f>
        <v>0</v>
      </c>
      <c r="U15" s="63" t="str">
        <f>IF(StatusBranchGrade[[#This Row],[T1]] = 1, COUNTIF($T$3:T15, 1), "")</f>
        <v/>
      </c>
      <c r="V15" s="63" t="str">
        <f>IFERROR(INDEX(StatusBranchGrade[Rank/Grade], MATCH(ROWS($U$3:U15)-1, StatusBranchGrade[T2], 0)), "") &amp; ""</f>
        <v/>
      </c>
      <c r="W15" s="63"/>
    </row>
    <row r="16" spans="1:23" x14ac:dyDescent="0.25">
      <c r="A16">
        <v>3</v>
      </c>
      <c r="B16" t="s">
        <v>186</v>
      </c>
      <c r="C16" t="s">
        <v>188</v>
      </c>
      <c r="D16" t="s">
        <v>197</v>
      </c>
      <c r="E16" t="str">
        <f>IF(StatusBranchGrade[[#This Row],[Status]] = "CYS", "DoD", StatusBranchGrade[[#This Row],[Rank]] &amp; "")</f>
        <v>DoD</v>
      </c>
      <c r="F16" t="s">
        <v>197</v>
      </c>
      <c r="G16" t="str">
        <f>IF(StatusBranchGrade[[#This Row],[Rank]] = StatusBranchGrade[[#This Row],[Grade]], StatusBranchGrade[[#This Row],[Rank]], StatusBranchGrade[[#This Row],[Grade]] &amp; "/" &amp; StatusBranchGrade[[#This Row],[Rank]]) &amp; ""</f>
        <v>Support</v>
      </c>
      <c r="H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Support</v>
      </c>
      <c r="I16" s="17" t="str">
        <f>SUBSTITUTE(SUBSTITUTE(SUBSTITUTE(StatusBranchGrade[[#This Row],[Status]] &amp; "  /  " &amp; StatusBranchGrade[[#This Row],[Branch]] &amp; ";", "  /  ;", ";"), "  /  ;", ";"), ";", "")</f>
        <v>CYS  /  CDC</v>
      </c>
      <c r="J16">
        <v>12</v>
      </c>
      <c r="K16" s="17" t="str">
        <f>IF(LEFT(StatusBranchGrade[[#This Row],[Which]], 1) = "1", StatusBranchGrade[[#This Row],[Key]], "")</f>
        <v>CYS  /  CDC  /  Support</v>
      </c>
      <c r="L16" s="17" t="str">
        <f>IF(LEFT(StatusBranchGrade[[#This Row],[Which]], 1) = "1", StatusBranchGrade[[#This Row],[Key0]], "")</f>
        <v>CYS  /  CDC</v>
      </c>
      <c r="M16" s="17" t="str">
        <f>IF(RIGHT(StatusBranchGrade[[#This Row],[Which]], 1) = "2", StatusBranchGrade[[#This Row],[Key]], "")</f>
        <v>CYS  /  CDC  /  Support</v>
      </c>
      <c r="N16" s="17" t="str">
        <f>IF(RIGHT(StatusBranchGrade[[#This Row],[Which]], 1) = "2", StatusBranchGrade[[#This Row],[Key0]], "")</f>
        <v>CYS  /  CDC</v>
      </c>
      <c r="O16" s="17" t="s">
        <v>186</v>
      </c>
      <c r="P16" s="54" t="s">
        <v>142</v>
      </c>
      <c r="Q16" s="63">
        <f>--ISNUMBER(IF(StatusBranchGrade[[#This Row],[Sponsor0]] = 'Calculation Worksheet'!$AV$6 &amp; "  /  " &amp; 'Calculation Worksheet'!$AV$7, 1, ""))</f>
        <v>0</v>
      </c>
      <c r="R16" s="63" t="str">
        <f>IF(StatusBranchGrade[[#This Row],[S1]] = 1, COUNTIF($Q$3:Q16, 1), "")</f>
        <v/>
      </c>
      <c r="S16" s="63" t="str">
        <f>IFERROR(INDEX(StatusBranchGrade[Rank/Grade], MATCH(ROWS($R$3:R16)-1, StatusBranchGrade[S2], 0)), "") &amp; ""</f>
        <v/>
      </c>
      <c r="T16" s="63">
        <f>--ISNUMBER(IF(StatusBranchGrade[[#This Row],[Spouse0]] = 'Calculation Worksheet'!$CG$6 &amp; "  /  " &amp; 'Calculation Worksheet'!$CG$7, 1, ""))</f>
        <v>0</v>
      </c>
      <c r="U16" s="63" t="str">
        <f>IF(StatusBranchGrade[[#This Row],[T1]] = 1, COUNTIF($T$3:T16, 1), "")</f>
        <v/>
      </c>
      <c r="V16" s="63" t="str">
        <f>IFERROR(INDEX(StatusBranchGrade[Rank/Grade], MATCH(ROWS($U$3:U16)-1, StatusBranchGrade[T2], 0)), "") &amp; ""</f>
        <v/>
      </c>
      <c r="W16" s="63"/>
    </row>
    <row r="17" spans="1:23" x14ac:dyDescent="0.25">
      <c r="A17">
        <v>3</v>
      </c>
      <c r="B17" t="s">
        <v>186</v>
      </c>
      <c r="C17" t="s">
        <v>188</v>
      </c>
      <c r="D17" t="s">
        <v>198</v>
      </c>
      <c r="E17" t="str">
        <f>IF(StatusBranchGrade[[#This Row],[Status]] = "CYS", "DoD", StatusBranchGrade[[#This Row],[Rank]] &amp; "")</f>
        <v>DoD</v>
      </c>
      <c r="F17" t="s">
        <v>198</v>
      </c>
      <c r="G17" t="str">
        <f>IF(StatusBranchGrade[[#This Row],[Rank]] = StatusBranchGrade[[#This Row],[Grade]], StatusBranchGrade[[#This Row],[Rank]], StatusBranchGrade[[#This Row],[Grade]] &amp; "/" &amp; StatusBranchGrade[[#This Row],[Rank]]) &amp; ""</f>
        <v>Trainer</v>
      </c>
      <c r="H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CDC  /  Trainer</v>
      </c>
      <c r="I17" s="17" t="str">
        <f>SUBSTITUTE(SUBSTITUTE(SUBSTITUTE(StatusBranchGrade[[#This Row],[Status]] &amp; "  /  " &amp; StatusBranchGrade[[#This Row],[Branch]] &amp; ";", "  /  ;", ";"), "  /  ;", ";"), ";", "")</f>
        <v>CYS  /  CDC</v>
      </c>
      <c r="J17">
        <v>12</v>
      </c>
      <c r="K17" s="17" t="str">
        <f>IF(LEFT(StatusBranchGrade[[#This Row],[Which]], 1) = "1", StatusBranchGrade[[#This Row],[Key]], "")</f>
        <v>CYS  /  CDC  /  Trainer</v>
      </c>
      <c r="L17" s="17" t="str">
        <f>IF(LEFT(StatusBranchGrade[[#This Row],[Which]], 1) = "1", StatusBranchGrade[[#This Row],[Key0]], "")</f>
        <v>CYS  /  CDC</v>
      </c>
      <c r="M17" s="17" t="str">
        <f>IF(RIGHT(StatusBranchGrade[[#This Row],[Which]], 1) = "2", StatusBranchGrade[[#This Row],[Key]], "")</f>
        <v>CYS  /  CDC  /  Trainer</v>
      </c>
      <c r="N17" s="17" t="str">
        <f>IF(RIGHT(StatusBranchGrade[[#This Row],[Which]], 1) = "2", StatusBranchGrade[[#This Row],[Key0]], "")</f>
        <v>CYS  /  CDC</v>
      </c>
      <c r="O17" s="17" t="s">
        <v>186</v>
      </c>
      <c r="P17" s="55" t="s">
        <v>142</v>
      </c>
      <c r="Q17" s="63">
        <f>--ISNUMBER(IF(StatusBranchGrade[[#This Row],[Sponsor0]] = 'Calculation Worksheet'!$AV$6 &amp; "  /  " &amp; 'Calculation Worksheet'!$AV$7, 1, ""))</f>
        <v>0</v>
      </c>
      <c r="R17" s="63" t="str">
        <f>IF(StatusBranchGrade[[#This Row],[S1]] = 1, COUNTIF($Q$3:Q17, 1), "")</f>
        <v/>
      </c>
      <c r="S17" s="63" t="str">
        <f>IFERROR(INDEX(StatusBranchGrade[Rank/Grade], MATCH(ROWS($R$3:R17)-1, StatusBranchGrade[S2], 0)), "") &amp; ""</f>
        <v/>
      </c>
      <c r="T17" s="63">
        <f>--ISNUMBER(IF(StatusBranchGrade[[#This Row],[Spouse0]] = 'Calculation Worksheet'!$CG$6 &amp; "  /  " &amp; 'Calculation Worksheet'!$CG$7, 1, ""))</f>
        <v>0</v>
      </c>
      <c r="U17" s="63" t="str">
        <f>IF(StatusBranchGrade[[#This Row],[T1]] = 1, COUNTIF($T$3:T17, 1), "")</f>
        <v/>
      </c>
      <c r="V17" s="63" t="str">
        <f>IFERROR(INDEX(StatusBranchGrade[Rank/Grade], MATCH(ROWS($U$3:U17)-1, StatusBranchGrade[T2], 0)), "") &amp; ""</f>
        <v/>
      </c>
      <c r="W17" s="63"/>
    </row>
    <row r="18" spans="1:23" x14ac:dyDescent="0.25">
      <c r="A18">
        <v>3</v>
      </c>
      <c r="B18" t="s">
        <v>186</v>
      </c>
      <c r="C18" t="s">
        <v>136</v>
      </c>
      <c r="D18" t="s">
        <v>193</v>
      </c>
      <c r="E18" t="str">
        <f>IF(StatusBranchGrade[[#This Row],[Status]] = "CYS", "DoD", StatusBranchGrade[[#This Row],[Rank]] &amp; "")</f>
        <v>DoD</v>
      </c>
      <c r="F18" t="s">
        <v>193</v>
      </c>
      <c r="G18" t="str">
        <f>IF(StatusBranchGrade[[#This Row],[Rank]] = StatusBranchGrade[[#This Row],[Grade]], StatusBranchGrade[[#This Row],[Rank]], StatusBranchGrade[[#This Row],[Grade]] &amp; "/" &amp; StatusBranchGrade[[#This Row],[Rank]]) &amp; ""</f>
        <v>Admin</v>
      </c>
      <c r="H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Admin</v>
      </c>
      <c r="I18" s="17" t="str">
        <f>SUBSTITUTE(SUBSTITUTE(SUBSTITUTE(StatusBranchGrade[[#This Row],[Status]] &amp; "  /  " &amp; StatusBranchGrade[[#This Row],[Branch]] &amp; ";", "  /  ;", ";"), "  /  ;", ";"), ";", "")</f>
        <v>CYS  /  FCC</v>
      </c>
      <c r="J18">
        <v>12</v>
      </c>
      <c r="K18" s="17" t="str">
        <f>IF(LEFT(StatusBranchGrade[[#This Row],[Which]], 1) = "1", StatusBranchGrade[[#This Row],[Key]], "")</f>
        <v>CYS  /  FCC  /  Admin</v>
      </c>
      <c r="L18" s="17" t="str">
        <f>IF(LEFT(StatusBranchGrade[[#This Row],[Which]], 1) = "1", StatusBranchGrade[[#This Row],[Key0]], "")</f>
        <v>CYS  /  FCC</v>
      </c>
      <c r="M18" s="17" t="str">
        <f>IF(RIGHT(StatusBranchGrade[[#This Row],[Which]], 1) = "2", StatusBranchGrade[[#This Row],[Key]], "")</f>
        <v>CYS  /  FCC  /  Admin</v>
      </c>
      <c r="N18" s="17" t="str">
        <f>IF(RIGHT(StatusBranchGrade[[#This Row],[Which]], 1) = "2", StatusBranchGrade[[#This Row],[Key0]], "")</f>
        <v>CYS  /  FCC</v>
      </c>
      <c r="O18" s="17" t="s">
        <v>186</v>
      </c>
      <c r="P18" s="55" t="s">
        <v>142</v>
      </c>
      <c r="Q18" s="63">
        <f>--ISNUMBER(IF(StatusBranchGrade[[#This Row],[Sponsor0]] = 'Calculation Worksheet'!$AV$6 &amp; "  /  " &amp; 'Calculation Worksheet'!$AV$7, 1, ""))</f>
        <v>0</v>
      </c>
      <c r="R18" s="63" t="str">
        <f>IF(StatusBranchGrade[[#This Row],[S1]] = 1, COUNTIF($Q$3:Q18, 1), "")</f>
        <v/>
      </c>
      <c r="S18" s="63" t="str">
        <f>IFERROR(INDEX(StatusBranchGrade[Rank/Grade], MATCH(ROWS($R$3:R18)-1, StatusBranchGrade[S2], 0)), "") &amp; ""</f>
        <v/>
      </c>
      <c r="T18" s="63">
        <f>--ISNUMBER(IF(StatusBranchGrade[[#This Row],[Spouse0]] = 'Calculation Worksheet'!$CG$6 &amp; "  /  " &amp; 'Calculation Worksheet'!$CG$7, 1, ""))</f>
        <v>0</v>
      </c>
      <c r="U18" s="63" t="str">
        <f>IF(StatusBranchGrade[[#This Row],[T1]] = 1, COUNTIF($T$3:T18, 1), "")</f>
        <v/>
      </c>
      <c r="V18" s="63" t="str">
        <f>IFERROR(INDEX(StatusBranchGrade[Rank/Grade], MATCH(ROWS($U$3:U18)-1, StatusBranchGrade[T2], 0)), "") &amp; ""</f>
        <v/>
      </c>
      <c r="W18" s="63"/>
    </row>
    <row r="19" spans="1:23" x14ac:dyDescent="0.25">
      <c r="A19">
        <v>3</v>
      </c>
      <c r="B19" t="s">
        <v>186</v>
      </c>
      <c r="C19" t="s">
        <v>136</v>
      </c>
      <c r="D19" t="s">
        <v>194</v>
      </c>
      <c r="E19" t="str">
        <f>IF(StatusBranchGrade[[#This Row],[Status]] = "CYS", "DoD", StatusBranchGrade[[#This Row],[Rank]] &amp; "")</f>
        <v>DoD</v>
      </c>
      <c r="F19" t="s">
        <v>194</v>
      </c>
      <c r="G19" t="str">
        <f>IF(StatusBranchGrade[[#This Row],[Rank]] = StatusBranchGrade[[#This Row],[Grade]], StatusBranchGrade[[#This Row],[Rank]], StatusBranchGrade[[#This Row],[Grade]] &amp; "/" &amp; StatusBranchGrade[[#This Row],[Rank]]) &amp; ""</f>
        <v>Classroom</v>
      </c>
      <c r="H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Classroom</v>
      </c>
      <c r="I19" s="17" t="str">
        <f>SUBSTITUTE(SUBSTITUTE(SUBSTITUTE(StatusBranchGrade[[#This Row],[Status]] &amp; "  /  " &amp; StatusBranchGrade[[#This Row],[Branch]] &amp; ";", "  /  ;", ";"), "  /  ;", ";"), ";", "")</f>
        <v>CYS  /  FCC</v>
      </c>
      <c r="J19">
        <v>12</v>
      </c>
      <c r="K19" s="17" t="str">
        <f>IF(LEFT(StatusBranchGrade[[#This Row],[Which]], 1) = "1", StatusBranchGrade[[#This Row],[Key]], "")</f>
        <v>CYS  /  FCC  /  Classroom</v>
      </c>
      <c r="L19" s="17" t="str">
        <f>IF(LEFT(StatusBranchGrade[[#This Row],[Which]], 1) = "1", StatusBranchGrade[[#This Row],[Key0]], "")</f>
        <v>CYS  /  FCC</v>
      </c>
      <c r="M19" s="17" t="str">
        <f>IF(RIGHT(StatusBranchGrade[[#This Row],[Which]], 1) = "2", StatusBranchGrade[[#This Row],[Key]], "")</f>
        <v>CYS  /  FCC  /  Classroom</v>
      </c>
      <c r="N19" s="17" t="str">
        <f>IF(RIGHT(StatusBranchGrade[[#This Row],[Which]], 1) = "2", StatusBranchGrade[[#This Row],[Key0]], "")</f>
        <v>CYS  /  FCC</v>
      </c>
      <c r="O19" s="17" t="s">
        <v>186</v>
      </c>
      <c r="P19" s="55" t="s">
        <v>142</v>
      </c>
      <c r="Q19" s="63">
        <f>--ISNUMBER(IF(StatusBranchGrade[[#This Row],[Sponsor0]] = 'Calculation Worksheet'!$AV$6 &amp; "  /  " &amp; 'Calculation Worksheet'!$AV$7, 1, ""))</f>
        <v>0</v>
      </c>
      <c r="R19" s="63" t="str">
        <f>IF(StatusBranchGrade[[#This Row],[S1]] = 1, COUNTIF($Q$3:Q19, 1), "")</f>
        <v/>
      </c>
      <c r="S19" s="63" t="str">
        <f>IFERROR(INDEX(StatusBranchGrade[Rank/Grade], MATCH(ROWS($R$3:R19)-1, StatusBranchGrade[S2], 0)), "") &amp; ""</f>
        <v/>
      </c>
      <c r="T19" s="63">
        <f>--ISNUMBER(IF(StatusBranchGrade[[#This Row],[Spouse0]] = 'Calculation Worksheet'!$CG$6 &amp; "  /  " &amp; 'Calculation Worksheet'!$CG$7, 1, ""))</f>
        <v>0</v>
      </c>
      <c r="U19" s="63" t="str">
        <f>IF(StatusBranchGrade[[#This Row],[T1]] = 1, COUNTIF($T$3:T19, 1), "")</f>
        <v/>
      </c>
      <c r="V19" s="63" t="str">
        <f>IFERROR(INDEX(StatusBranchGrade[Rank/Grade], MATCH(ROWS($U$3:U19)-1, StatusBranchGrade[T2], 0)), "") &amp; ""</f>
        <v/>
      </c>
      <c r="W19" s="63"/>
    </row>
    <row r="20" spans="1:23" x14ac:dyDescent="0.25">
      <c r="A20">
        <v>3</v>
      </c>
      <c r="B20" t="s">
        <v>186</v>
      </c>
      <c r="C20" t="s">
        <v>136</v>
      </c>
      <c r="D20" t="s">
        <v>195</v>
      </c>
      <c r="E20" t="str">
        <f>IF(StatusBranchGrade[[#This Row],[Status]] = "CYS", "DoD", StatusBranchGrade[[#This Row],[Rank]] &amp; "")</f>
        <v>DoD</v>
      </c>
      <c r="F20" t="s">
        <v>195</v>
      </c>
      <c r="G20" t="str">
        <f>IF(StatusBranchGrade[[#This Row],[Rank]] = StatusBranchGrade[[#This Row],[Grade]], StatusBranchGrade[[#This Row],[Rank]], StatusBranchGrade[[#This Row],[Grade]] &amp; "/" &amp; StatusBranchGrade[[#This Row],[Rank]]) &amp; ""</f>
        <v>Food</v>
      </c>
      <c r="H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Food</v>
      </c>
      <c r="I20" s="17" t="str">
        <f>SUBSTITUTE(SUBSTITUTE(SUBSTITUTE(StatusBranchGrade[[#This Row],[Status]] &amp; "  /  " &amp; StatusBranchGrade[[#This Row],[Branch]] &amp; ";", "  /  ;", ";"), "  /  ;", ";"), ";", "")</f>
        <v>CYS  /  FCC</v>
      </c>
      <c r="J20">
        <v>12</v>
      </c>
      <c r="K20" s="17" t="str">
        <f>IF(LEFT(StatusBranchGrade[[#This Row],[Which]], 1) = "1", StatusBranchGrade[[#This Row],[Key]], "")</f>
        <v>CYS  /  FCC  /  Food</v>
      </c>
      <c r="L20" s="17" t="str">
        <f>IF(LEFT(StatusBranchGrade[[#This Row],[Which]], 1) = "1", StatusBranchGrade[[#This Row],[Key0]], "")</f>
        <v>CYS  /  FCC</v>
      </c>
      <c r="M20" s="17" t="str">
        <f>IF(RIGHT(StatusBranchGrade[[#This Row],[Which]], 1) = "2", StatusBranchGrade[[#This Row],[Key]], "")</f>
        <v>CYS  /  FCC  /  Food</v>
      </c>
      <c r="N20" s="17" t="str">
        <f>IF(RIGHT(StatusBranchGrade[[#This Row],[Which]], 1) = "2", StatusBranchGrade[[#This Row],[Key0]], "")</f>
        <v>CYS  /  FCC</v>
      </c>
      <c r="O20" s="17" t="s">
        <v>186</v>
      </c>
      <c r="P20" s="55" t="s">
        <v>142</v>
      </c>
      <c r="Q20" s="63">
        <f>--ISNUMBER(IF(StatusBranchGrade[[#This Row],[Sponsor0]] = 'Calculation Worksheet'!$AV$6 &amp; "  /  " &amp; 'Calculation Worksheet'!$AV$7, 1, ""))</f>
        <v>0</v>
      </c>
      <c r="R20" s="63" t="str">
        <f>IF(StatusBranchGrade[[#This Row],[S1]] = 1, COUNTIF($Q$3:Q20, 1), "")</f>
        <v/>
      </c>
      <c r="S20" s="63" t="str">
        <f>IFERROR(INDEX(StatusBranchGrade[Rank/Grade], MATCH(ROWS($R$3:R20)-1, StatusBranchGrade[S2], 0)), "") &amp; ""</f>
        <v/>
      </c>
      <c r="T20" s="63">
        <f>--ISNUMBER(IF(StatusBranchGrade[[#This Row],[Spouse0]] = 'Calculation Worksheet'!$CG$6 &amp; "  /  " &amp; 'Calculation Worksheet'!$CG$7, 1, ""))</f>
        <v>0</v>
      </c>
      <c r="U20" s="63" t="str">
        <f>IF(StatusBranchGrade[[#This Row],[T1]] = 1, COUNTIF($T$3:T20, 1), "")</f>
        <v/>
      </c>
      <c r="V20" s="63" t="str">
        <f>IFERROR(INDEX(StatusBranchGrade[Rank/Grade], MATCH(ROWS($U$3:U20)-1, StatusBranchGrade[T2], 0)), "") &amp; ""</f>
        <v/>
      </c>
      <c r="W20" s="63"/>
    </row>
    <row r="21" spans="1:23" x14ac:dyDescent="0.25">
      <c r="A21">
        <v>3</v>
      </c>
      <c r="B21" t="s">
        <v>186</v>
      </c>
      <c r="C21" t="s">
        <v>136</v>
      </c>
      <c r="D21" t="s">
        <v>196</v>
      </c>
      <c r="E21" t="str">
        <f>IF(StatusBranchGrade[[#This Row],[Status]] = "CYS", "DoD", StatusBranchGrade[[#This Row],[Rank]] &amp; "")</f>
        <v>DoD</v>
      </c>
      <c r="F21" t="s">
        <v>196</v>
      </c>
      <c r="G21" t="str">
        <f>IF(StatusBranchGrade[[#This Row],[Rank]] = StatusBranchGrade[[#This Row],[Grade]], StatusBranchGrade[[#This Row],[Rank]], StatusBranchGrade[[#This Row],[Grade]] &amp; "/" &amp; StatusBranchGrade[[#This Row],[Rank]]) &amp; ""</f>
        <v>Mgmt</v>
      </c>
      <c r="H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Mgmt</v>
      </c>
      <c r="I21" s="17" t="str">
        <f>SUBSTITUTE(SUBSTITUTE(SUBSTITUTE(StatusBranchGrade[[#This Row],[Status]] &amp; "  /  " &amp; StatusBranchGrade[[#This Row],[Branch]] &amp; ";", "  /  ;", ";"), "  /  ;", ";"), ";", "")</f>
        <v>CYS  /  FCC</v>
      </c>
      <c r="J21">
        <v>12</v>
      </c>
      <c r="K21" s="17" t="str">
        <f>IF(LEFT(StatusBranchGrade[[#This Row],[Which]], 1) = "1", StatusBranchGrade[[#This Row],[Key]], "")</f>
        <v>CYS  /  FCC  /  Mgmt</v>
      </c>
      <c r="L21" s="17" t="str">
        <f>IF(LEFT(StatusBranchGrade[[#This Row],[Which]], 1) = "1", StatusBranchGrade[[#This Row],[Key0]], "")</f>
        <v>CYS  /  FCC</v>
      </c>
      <c r="M21" s="17" t="str">
        <f>IF(RIGHT(StatusBranchGrade[[#This Row],[Which]], 1) = "2", StatusBranchGrade[[#This Row],[Key]], "")</f>
        <v>CYS  /  FCC  /  Mgmt</v>
      </c>
      <c r="N21" s="17" t="str">
        <f>IF(RIGHT(StatusBranchGrade[[#This Row],[Which]], 1) = "2", StatusBranchGrade[[#This Row],[Key0]], "")</f>
        <v>CYS  /  FCC</v>
      </c>
      <c r="O21" s="17" t="s">
        <v>186</v>
      </c>
      <c r="P21" s="55" t="s">
        <v>142</v>
      </c>
      <c r="Q21" s="63">
        <f>--ISNUMBER(IF(StatusBranchGrade[[#This Row],[Sponsor0]] = 'Calculation Worksheet'!$AV$6 &amp; "  /  " &amp; 'Calculation Worksheet'!$AV$7, 1, ""))</f>
        <v>0</v>
      </c>
      <c r="R21" s="63" t="str">
        <f>IF(StatusBranchGrade[[#This Row],[S1]] = 1, COUNTIF($Q$3:Q21, 1), "")</f>
        <v/>
      </c>
      <c r="S21" s="63" t="str">
        <f>IFERROR(INDEX(StatusBranchGrade[Rank/Grade], MATCH(ROWS($R$3:R21)-1, StatusBranchGrade[S2], 0)), "") &amp; ""</f>
        <v/>
      </c>
      <c r="T21" s="63">
        <f>--ISNUMBER(IF(StatusBranchGrade[[#This Row],[Spouse0]] = 'Calculation Worksheet'!$CG$6 &amp; "  /  " &amp; 'Calculation Worksheet'!$CG$7, 1, ""))</f>
        <v>0</v>
      </c>
      <c r="U21" s="63" t="str">
        <f>IF(StatusBranchGrade[[#This Row],[T1]] = 1, COUNTIF($T$3:T21, 1), "")</f>
        <v/>
      </c>
      <c r="V21" s="63" t="str">
        <f>IFERROR(INDEX(StatusBranchGrade[Rank/Grade], MATCH(ROWS($U$3:U21)-1, StatusBranchGrade[T2], 0)), "") &amp; ""</f>
        <v/>
      </c>
      <c r="W21" s="63"/>
    </row>
    <row r="22" spans="1:23" x14ac:dyDescent="0.25">
      <c r="A22">
        <v>3</v>
      </c>
      <c r="B22" t="s">
        <v>186</v>
      </c>
      <c r="C22" t="s">
        <v>136</v>
      </c>
      <c r="D22" t="s">
        <v>197</v>
      </c>
      <c r="E22" t="str">
        <f>IF(StatusBranchGrade[[#This Row],[Status]] = "CYS", "DoD", StatusBranchGrade[[#This Row],[Rank]] &amp; "")</f>
        <v>DoD</v>
      </c>
      <c r="F22" t="s">
        <v>197</v>
      </c>
      <c r="G22" t="str">
        <f>IF(StatusBranchGrade[[#This Row],[Rank]] = StatusBranchGrade[[#This Row],[Grade]], StatusBranchGrade[[#This Row],[Rank]], StatusBranchGrade[[#This Row],[Grade]] &amp; "/" &amp; StatusBranchGrade[[#This Row],[Rank]]) &amp; ""</f>
        <v>Support</v>
      </c>
      <c r="H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Support</v>
      </c>
      <c r="I22" s="17" t="str">
        <f>SUBSTITUTE(SUBSTITUTE(SUBSTITUTE(StatusBranchGrade[[#This Row],[Status]] &amp; "  /  " &amp; StatusBranchGrade[[#This Row],[Branch]] &amp; ";", "  /  ;", ";"), "  /  ;", ";"), ";", "")</f>
        <v>CYS  /  FCC</v>
      </c>
      <c r="J22">
        <v>12</v>
      </c>
      <c r="K22" s="17" t="str">
        <f>IF(LEFT(StatusBranchGrade[[#This Row],[Which]], 1) = "1", StatusBranchGrade[[#This Row],[Key]], "")</f>
        <v>CYS  /  FCC  /  Support</v>
      </c>
      <c r="L22" s="17" t="str">
        <f>IF(LEFT(StatusBranchGrade[[#This Row],[Which]], 1) = "1", StatusBranchGrade[[#This Row],[Key0]], "")</f>
        <v>CYS  /  FCC</v>
      </c>
      <c r="M22" s="17" t="str">
        <f>IF(RIGHT(StatusBranchGrade[[#This Row],[Which]], 1) = "2", StatusBranchGrade[[#This Row],[Key]], "")</f>
        <v>CYS  /  FCC  /  Support</v>
      </c>
      <c r="N22" s="17" t="str">
        <f>IF(RIGHT(StatusBranchGrade[[#This Row],[Which]], 1) = "2", StatusBranchGrade[[#This Row],[Key0]], "")</f>
        <v>CYS  /  FCC</v>
      </c>
      <c r="O22" s="17" t="s">
        <v>186</v>
      </c>
      <c r="P22" s="54" t="s">
        <v>142</v>
      </c>
      <c r="Q22" s="63">
        <f>--ISNUMBER(IF(StatusBranchGrade[[#This Row],[Sponsor0]] = 'Calculation Worksheet'!$AV$6 &amp; "  /  " &amp; 'Calculation Worksheet'!$AV$7, 1, ""))</f>
        <v>0</v>
      </c>
      <c r="R22" s="63" t="str">
        <f>IF(StatusBranchGrade[[#This Row],[S1]] = 1, COUNTIF($Q$3:Q22, 1), "")</f>
        <v/>
      </c>
      <c r="S22" s="63" t="str">
        <f>IFERROR(INDEX(StatusBranchGrade[Rank/Grade], MATCH(ROWS($R$3:R22)-1, StatusBranchGrade[S2], 0)), "") &amp; ""</f>
        <v/>
      </c>
      <c r="T22" s="63">
        <f>--ISNUMBER(IF(StatusBranchGrade[[#This Row],[Spouse0]] = 'Calculation Worksheet'!$CG$6 &amp; "  /  " &amp; 'Calculation Worksheet'!$CG$7, 1, ""))</f>
        <v>0</v>
      </c>
      <c r="U22" s="63" t="str">
        <f>IF(StatusBranchGrade[[#This Row],[T1]] = 1, COUNTIF($T$3:T22, 1), "")</f>
        <v/>
      </c>
      <c r="V22" s="63" t="str">
        <f>IFERROR(INDEX(StatusBranchGrade[Rank/Grade], MATCH(ROWS($U$3:U22)-1, StatusBranchGrade[T2], 0)), "") &amp; ""</f>
        <v/>
      </c>
      <c r="W22" s="63"/>
    </row>
    <row r="23" spans="1:23" x14ac:dyDescent="0.25">
      <c r="A23">
        <v>3</v>
      </c>
      <c r="B23" t="s">
        <v>186</v>
      </c>
      <c r="C23" t="s">
        <v>136</v>
      </c>
      <c r="D23" t="s">
        <v>198</v>
      </c>
      <c r="E23" t="str">
        <f>IF(StatusBranchGrade[[#This Row],[Status]] = "CYS", "DoD", StatusBranchGrade[[#This Row],[Rank]] &amp; "")</f>
        <v>DoD</v>
      </c>
      <c r="F23" t="s">
        <v>198</v>
      </c>
      <c r="G23" t="str">
        <f>IF(StatusBranchGrade[[#This Row],[Rank]] = StatusBranchGrade[[#This Row],[Grade]], StatusBranchGrade[[#This Row],[Rank]], StatusBranchGrade[[#This Row],[Grade]] &amp; "/" &amp; StatusBranchGrade[[#This Row],[Rank]]) &amp; ""</f>
        <v>Trainer</v>
      </c>
      <c r="H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FCC  /  Trainer</v>
      </c>
      <c r="I23" s="17" t="str">
        <f>SUBSTITUTE(SUBSTITUTE(SUBSTITUTE(StatusBranchGrade[[#This Row],[Status]] &amp; "  /  " &amp; StatusBranchGrade[[#This Row],[Branch]] &amp; ";", "  /  ;", ";"), "  /  ;", ";"), ";", "")</f>
        <v>CYS  /  FCC</v>
      </c>
      <c r="J23">
        <v>12</v>
      </c>
      <c r="K23" s="17" t="str">
        <f>IF(LEFT(StatusBranchGrade[[#This Row],[Which]], 1) = "1", StatusBranchGrade[[#This Row],[Key]], "")</f>
        <v>CYS  /  FCC  /  Trainer</v>
      </c>
      <c r="L23" s="17" t="str">
        <f>IF(LEFT(StatusBranchGrade[[#This Row],[Which]], 1) = "1", StatusBranchGrade[[#This Row],[Key0]], "")</f>
        <v>CYS  /  FCC</v>
      </c>
      <c r="M23" s="17" t="str">
        <f>IF(RIGHT(StatusBranchGrade[[#This Row],[Which]], 1) = "2", StatusBranchGrade[[#This Row],[Key]], "")</f>
        <v>CYS  /  FCC  /  Trainer</v>
      </c>
      <c r="N23" s="17" t="str">
        <f>IF(RIGHT(StatusBranchGrade[[#This Row],[Which]], 1) = "2", StatusBranchGrade[[#This Row],[Key0]], "")</f>
        <v>CYS  /  FCC</v>
      </c>
      <c r="O23" s="17" t="s">
        <v>186</v>
      </c>
      <c r="P23" s="55" t="s">
        <v>142</v>
      </c>
      <c r="Q23" s="63">
        <f>--ISNUMBER(IF(StatusBranchGrade[[#This Row],[Sponsor0]] = 'Calculation Worksheet'!$AV$6 &amp; "  /  " &amp; 'Calculation Worksheet'!$AV$7, 1, ""))</f>
        <v>0</v>
      </c>
      <c r="R23" s="63" t="str">
        <f>IF(StatusBranchGrade[[#This Row],[S1]] = 1, COUNTIF($Q$3:Q23, 1), "")</f>
        <v/>
      </c>
      <c r="S23" s="63" t="str">
        <f>IFERROR(INDEX(StatusBranchGrade[Rank/Grade], MATCH(ROWS($R$3:R23)-1, StatusBranchGrade[S2], 0)), "") &amp; ""</f>
        <v/>
      </c>
      <c r="T23" s="63">
        <f>--ISNUMBER(IF(StatusBranchGrade[[#This Row],[Spouse0]] = 'Calculation Worksheet'!$CG$6 &amp; "  /  " &amp; 'Calculation Worksheet'!$CG$7, 1, ""))</f>
        <v>0</v>
      </c>
      <c r="U23" s="63" t="str">
        <f>IF(StatusBranchGrade[[#This Row],[T1]] = 1, COUNTIF($T$3:T23, 1), "")</f>
        <v/>
      </c>
      <c r="V23" s="63" t="str">
        <f>IFERROR(INDEX(StatusBranchGrade[Rank/Grade], MATCH(ROWS($U$3:U23)-1, StatusBranchGrade[T2], 0)), "") &amp; ""</f>
        <v/>
      </c>
      <c r="W23" s="63"/>
    </row>
    <row r="24" spans="1:23" x14ac:dyDescent="0.25">
      <c r="A24">
        <v>3</v>
      </c>
      <c r="B24" t="s">
        <v>186</v>
      </c>
      <c r="C24" t="s">
        <v>189</v>
      </c>
      <c r="D24" t="s">
        <v>193</v>
      </c>
      <c r="E24" t="str">
        <f>IF(StatusBranchGrade[[#This Row],[Status]] = "CYS", "DoD", StatusBranchGrade[[#This Row],[Rank]] &amp; "")</f>
        <v>DoD</v>
      </c>
      <c r="F24" t="s">
        <v>193</v>
      </c>
      <c r="G24" t="str">
        <f>IF(StatusBranchGrade[[#This Row],[Rank]] = StatusBranchGrade[[#This Row],[Grade]], StatusBranchGrade[[#This Row],[Rank]], StatusBranchGrade[[#This Row],[Grade]] &amp; "/" &amp; StatusBranchGrade[[#This Row],[Rank]]) &amp; ""</f>
        <v>Admin</v>
      </c>
      <c r="H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Admin</v>
      </c>
      <c r="I24" s="17" t="str">
        <f>SUBSTITUTE(SUBSTITUTE(SUBSTITUTE(StatusBranchGrade[[#This Row],[Status]] &amp; "  /  " &amp; StatusBranchGrade[[#This Row],[Branch]] &amp; ";", "  /  ;", ";"), "  /  ;", ";"), ";", "")</f>
        <v>CYS  /  MST</v>
      </c>
      <c r="J24">
        <v>12</v>
      </c>
      <c r="K24" s="17" t="str">
        <f>IF(LEFT(StatusBranchGrade[[#This Row],[Which]], 1) = "1", StatusBranchGrade[[#This Row],[Key]], "")</f>
        <v>CYS  /  MST  /  Admin</v>
      </c>
      <c r="L24" s="17" t="str">
        <f>IF(LEFT(StatusBranchGrade[[#This Row],[Which]], 1) = "1", StatusBranchGrade[[#This Row],[Key0]], "")</f>
        <v>CYS  /  MST</v>
      </c>
      <c r="M24" s="17" t="str">
        <f>IF(RIGHT(StatusBranchGrade[[#This Row],[Which]], 1) = "2", StatusBranchGrade[[#This Row],[Key]], "")</f>
        <v>CYS  /  MST  /  Admin</v>
      </c>
      <c r="N24" s="17" t="str">
        <f>IF(RIGHT(StatusBranchGrade[[#This Row],[Which]], 1) = "2", StatusBranchGrade[[#This Row],[Key0]], "")</f>
        <v>CYS  /  MST</v>
      </c>
      <c r="O24" s="17" t="s">
        <v>186</v>
      </c>
      <c r="P24" s="54" t="s">
        <v>142</v>
      </c>
      <c r="Q24" s="63">
        <f>--ISNUMBER(IF(StatusBranchGrade[[#This Row],[Sponsor0]] = 'Calculation Worksheet'!$AV$6 &amp; "  /  " &amp; 'Calculation Worksheet'!$AV$7, 1, ""))</f>
        <v>0</v>
      </c>
      <c r="R24" s="63" t="str">
        <f>IF(StatusBranchGrade[[#This Row],[S1]] = 1, COUNTIF($Q$3:Q24, 1), "")</f>
        <v/>
      </c>
      <c r="S24" s="63" t="str">
        <f>IFERROR(INDEX(StatusBranchGrade[Rank/Grade], MATCH(ROWS($R$3:R24)-1, StatusBranchGrade[S2], 0)), "") &amp; ""</f>
        <v/>
      </c>
      <c r="T24" s="63">
        <f>--ISNUMBER(IF(StatusBranchGrade[[#This Row],[Spouse0]] = 'Calculation Worksheet'!$CG$6 &amp; "  /  " &amp; 'Calculation Worksheet'!$CG$7, 1, ""))</f>
        <v>0</v>
      </c>
      <c r="U24" s="63" t="str">
        <f>IF(StatusBranchGrade[[#This Row],[T1]] = 1, COUNTIF($T$3:T24, 1), "")</f>
        <v/>
      </c>
      <c r="V24" s="63" t="str">
        <f>IFERROR(INDEX(StatusBranchGrade[Rank/Grade], MATCH(ROWS($U$3:U24)-1, StatusBranchGrade[T2], 0)), "") &amp; ""</f>
        <v/>
      </c>
      <c r="W24" s="63"/>
    </row>
    <row r="25" spans="1:23" x14ac:dyDescent="0.25">
      <c r="A25">
        <v>3</v>
      </c>
      <c r="B25" t="s">
        <v>186</v>
      </c>
      <c r="C25" t="s">
        <v>189</v>
      </c>
      <c r="D25" t="s">
        <v>194</v>
      </c>
      <c r="E25" t="str">
        <f>IF(StatusBranchGrade[[#This Row],[Status]] = "CYS", "DoD", StatusBranchGrade[[#This Row],[Rank]] &amp; "")</f>
        <v>DoD</v>
      </c>
      <c r="F25" t="s">
        <v>194</v>
      </c>
      <c r="G25" t="str">
        <f>IF(StatusBranchGrade[[#This Row],[Rank]] = StatusBranchGrade[[#This Row],[Grade]], StatusBranchGrade[[#This Row],[Rank]], StatusBranchGrade[[#This Row],[Grade]] &amp; "/" &amp; StatusBranchGrade[[#This Row],[Rank]]) &amp; ""</f>
        <v>Classroom</v>
      </c>
      <c r="H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Classroom</v>
      </c>
      <c r="I25" s="17" t="str">
        <f>SUBSTITUTE(SUBSTITUTE(SUBSTITUTE(StatusBranchGrade[[#This Row],[Status]] &amp; "  /  " &amp; StatusBranchGrade[[#This Row],[Branch]] &amp; ";", "  /  ;", ";"), "  /  ;", ";"), ";", "")</f>
        <v>CYS  /  MST</v>
      </c>
      <c r="J25">
        <v>12</v>
      </c>
      <c r="K25" s="17" t="str">
        <f>IF(LEFT(StatusBranchGrade[[#This Row],[Which]], 1) = "1", StatusBranchGrade[[#This Row],[Key]], "")</f>
        <v>CYS  /  MST  /  Classroom</v>
      </c>
      <c r="L25" s="17" t="str">
        <f>IF(LEFT(StatusBranchGrade[[#This Row],[Which]], 1) = "1", StatusBranchGrade[[#This Row],[Key0]], "")</f>
        <v>CYS  /  MST</v>
      </c>
      <c r="M25" s="17" t="str">
        <f>IF(RIGHT(StatusBranchGrade[[#This Row],[Which]], 1) = "2", StatusBranchGrade[[#This Row],[Key]], "")</f>
        <v>CYS  /  MST  /  Classroom</v>
      </c>
      <c r="N25" s="17" t="str">
        <f>IF(RIGHT(StatusBranchGrade[[#This Row],[Which]], 1) = "2", StatusBranchGrade[[#This Row],[Key0]], "")</f>
        <v>CYS  /  MST</v>
      </c>
      <c r="O25" s="17" t="s">
        <v>186</v>
      </c>
      <c r="P25" s="54" t="s">
        <v>142</v>
      </c>
      <c r="Q25" s="63">
        <f>--ISNUMBER(IF(StatusBranchGrade[[#This Row],[Sponsor0]] = 'Calculation Worksheet'!$AV$6 &amp; "  /  " &amp; 'Calculation Worksheet'!$AV$7, 1, ""))</f>
        <v>0</v>
      </c>
      <c r="R25" s="63" t="str">
        <f>IF(StatusBranchGrade[[#This Row],[S1]] = 1, COUNTIF($Q$3:Q25, 1), "")</f>
        <v/>
      </c>
      <c r="S25" s="63" t="str">
        <f>IFERROR(INDEX(StatusBranchGrade[Rank/Grade], MATCH(ROWS($R$3:R25)-1, StatusBranchGrade[S2], 0)), "") &amp; ""</f>
        <v/>
      </c>
      <c r="T25" s="63">
        <f>--ISNUMBER(IF(StatusBranchGrade[[#This Row],[Spouse0]] = 'Calculation Worksheet'!$CG$6 &amp; "  /  " &amp; 'Calculation Worksheet'!$CG$7, 1, ""))</f>
        <v>0</v>
      </c>
      <c r="U25" s="63" t="str">
        <f>IF(StatusBranchGrade[[#This Row],[T1]] = 1, COUNTIF($T$3:T25, 1), "")</f>
        <v/>
      </c>
      <c r="V25" s="63" t="str">
        <f>IFERROR(INDEX(StatusBranchGrade[Rank/Grade], MATCH(ROWS($U$3:U25)-1, StatusBranchGrade[T2], 0)), "") &amp; ""</f>
        <v/>
      </c>
      <c r="W25" s="63"/>
    </row>
    <row r="26" spans="1:23" x14ac:dyDescent="0.25">
      <c r="A26">
        <v>3</v>
      </c>
      <c r="B26" t="s">
        <v>186</v>
      </c>
      <c r="C26" t="s">
        <v>189</v>
      </c>
      <c r="D26" t="s">
        <v>195</v>
      </c>
      <c r="E26" t="str">
        <f>IF(StatusBranchGrade[[#This Row],[Status]] = "CYS", "DoD", StatusBranchGrade[[#This Row],[Rank]] &amp; "")</f>
        <v>DoD</v>
      </c>
      <c r="F26" t="s">
        <v>195</v>
      </c>
      <c r="G26" t="str">
        <f>IF(StatusBranchGrade[[#This Row],[Rank]] = StatusBranchGrade[[#This Row],[Grade]], StatusBranchGrade[[#This Row],[Rank]], StatusBranchGrade[[#This Row],[Grade]] &amp; "/" &amp; StatusBranchGrade[[#This Row],[Rank]]) &amp; ""</f>
        <v>Food</v>
      </c>
      <c r="H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Food</v>
      </c>
      <c r="I26" s="17" t="str">
        <f>SUBSTITUTE(SUBSTITUTE(SUBSTITUTE(StatusBranchGrade[[#This Row],[Status]] &amp; "  /  " &amp; StatusBranchGrade[[#This Row],[Branch]] &amp; ";", "  /  ;", ";"), "  /  ;", ";"), ";", "")</f>
        <v>CYS  /  MST</v>
      </c>
      <c r="J26">
        <v>12</v>
      </c>
      <c r="K26" s="17" t="str">
        <f>IF(LEFT(StatusBranchGrade[[#This Row],[Which]], 1) = "1", StatusBranchGrade[[#This Row],[Key]], "")</f>
        <v>CYS  /  MST  /  Food</v>
      </c>
      <c r="L26" s="17" t="str">
        <f>IF(LEFT(StatusBranchGrade[[#This Row],[Which]], 1) = "1", StatusBranchGrade[[#This Row],[Key0]], "")</f>
        <v>CYS  /  MST</v>
      </c>
      <c r="M26" s="17" t="str">
        <f>IF(RIGHT(StatusBranchGrade[[#This Row],[Which]], 1) = "2", StatusBranchGrade[[#This Row],[Key]], "")</f>
        <v>CYS  /  MST  /  Food</v>
      </c>
      <c r="N26" s="17" t="str">
        <f>IF(RIGHT(StatusBranchGrade[[#This Row],[Which]], 1) = "2", StatusBranchGrade[[#This Row],[Key0]], "")</f>
        <v>CYS  /  MST</v>
      </c>
      <c r="O26" s="17" t="s">
        <v>186</v>
      </c>
      <c r="P26" s="54" t="s">
        <v>142</v>
      </c>
      <c r="Q26" s="63">
        <f>--ISNUMBER(IF(StatusBranchGrade[[#This Row],[Sponsor0]] = 'Calculation Worksheet'!$AV$6 &amp; "  /  " &amp; 'Calculation Worksheet'!$AV$7, 1, ""))</f>
        <v>0</v>
      </c>
      <c r="R26" s="63" t="str">
        <f>IF(StatusBranchGrade[[#This Row],[S1]] = 1, COUNTIF($Q$3:Q26, 1), "")</f>
        <v/>
      </c>
      <c r="S26" s="63" t="str">
        <f>IFERROR(INDEX(StatusBranchGrade[Rank/Grade], MATCH(ROWS($R$3:R26)-1, StatusBranchGrade[S2], 0)), "") &amp; ""</f>
        <v/>
      </c>
      <c r="T26" s="63">
        <f>--ISNUMBER(IF(StatusBranchGrade[[#This Row],[Spouse0]] = 'Calculation Worksheet'!$CG$6 &amp; "  /  " &amp; 'Calculation Worksheet'!$CG$7, 1, ""))</f>
        <v>0</v>
      </c>
      <c r="U26" s="63" t="str">
        <f>IF(StatusBranchGrade[[#This Row],[T1]] = 1, COUNTIF($T$3:T26, 1), "")</f>
        <v/>
      </c>
      <c r="V26" s="63" t="str">
        <f>IFERROR(INDEX(StatusBranchGrade[Rank/Grade], MATCH(ROWS($U$3:U26)-1, StatusBranchGrade[T2], 0)), "") &amp; ""</f>
        <v/>
      </c>
      <c r="W26" s="63"/>
    </row>
    <row r="27" spans="1:23" x14ac:dyDescent="0.25">
      <c r="A27">
        <v>3</v>
      </c>
      <c r="B27" t="s">
        <v>186</v>
      </c>
      <c r="C27" t="s">
        <v>189</v>
      </c>
      <c r="D27" t="s">
        <v>196</v>
      </c>
      <c r="E27" t="str">
        <f>IF(StatusBranchGrade[[#This Row],[Status]] = "CYS", "DoD", StatusBranchGrade[[#This Row],[Rank]] &amp; "")</f>
        <v>DoD</v>
      </c>
      <c r="F27" t="s">
        <v>196</v>
      </c>
      <c r="G27" t="str">
        <f>IF(StatusBranchGrade[[#This Row],[Rank]] = StatusBranchGrade[[#This Row],[Grade]], StatusBranchGrade[[#This Row],[Rank]], StatusBranchGrade[[#This Row],[Grade]] &amp; "/" &amp; StatusBranchGrade[[#This Row],[Rank]]) &amp; ""</f>
        <v>Mgmt</v>
      </c>
      <c r="H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Mgmt</v>
      </c>
      <c r="I27" s="17" t="str">
        <f>SUBSTITUTE(SUBSTITUTE(SUBSTITUTE(StatusBranchGrade[[#This Row],[Status]] &amp; "  /  " &amp; StatusBranchGrade[[#This Row],[Branch]] &amp; ";", "  /  ;", ";"), "  /  ;", ";"), ";", "")</f>
        <v>CYS  /  MST</v>
      </c>
      <c r="J27">
        <v>12</v>
      </c>
      <c r="K27" s="17" t="str">
        <f>IF(LEFT(StatusBranchGrade[[#This Row],[Which]], 1) = "1", StatusBranchGrade[[#This Row],[Key]], "")</f>
        <v>CYS  /  MST  /  Mgmt</v>
      </c>
      <c r="L27" s="17" t="str">
        <f>IF(LEFT(StatusBranchGrade[[#This Row],[Which]], 1) = "1", StatusBranchGrade[[#This Row],[Key0]], "")</f>
        <v>CYS  /  MST</v>
      </c>
      <c r="M27" s="17" t="str">
        <f>IF(RIGHT(StatusBranchGrade[[#This Row],[Which]], 1) = "2", StatusBranchGrade[[#This Row],[Key]], "")</f>
        <v>CYS  /  MST  /  Mgmt</v>
      </c>
      <c r="N27" s="17" t="str">
        <f>IF(RIGHT(StatusBranchGrade[[#This Row],[Which]], 1) = "2", StatusBranchGrade[[#This Row],[Key0]], "")</f>
        <v>CYS  /  MST</v>
      </c>
      <c r="O27" s="17" t="s">
        <v>186</v>
      </c>
      <c r="P27" s="54" t="s">
        <v>142</v>
      </c>
      <c r="Q27" s="63">
        <f>--ISNUMBER(IF(StatusBranchGrade[[#This Row],[Sponsor0]] = 'Calculation Worksheet'!$AV$6 &amp; "  /  " &amp; 'Calculation Worksheet'!$AV$7, 1, ""))</f>
        <v>0</v>
      </c>
      <c r="R27" s="63" t="str">
        <f>IF(StatusBranchGrade[[#This Row],[S1]] = 1, COUNTIF($Q$3:Q27, 1), "")</f>
        <v/>
      </c>
      <c r="S27" s="63" t="str">
        <f>IFERROR(INDEX(StatusBranchGrade[Rank/Grade], MATCH(ROWS($R$3:R27)-1, StatusBranchGrade[S2], 0)), "") &amp; ""</f>
        <v/>
      </c>
      <c r="T27" s="63">
        <f>--ISNUMBER(IF(StatusBranchGrade[[#This Row],[Spouse0]] = 'Calculation Worksheet'!$CG$6 &amp; "  /  " &amp; 'Calculation Worksheet'!$CG$7, 1, ""))</f>
        <v>0</v>
      </c>
      <c r="U27" s="63" t="str">
        <f>IF(StatusBranchGrade[[#This Row],[T1]] = 1, COUNTIF($T$3:T27, 1), "")</f>
        <v/>
      </c>
      <c r="V27" s="63" t="str">
        <f>IFERROR(INDEX(StatusBranchGrade[Rank/Grade], MATCH(ROWS($U$3:U27)-1, StatusBranchGrade[T2], 0)), "") &amp; ""</f>
        <v/>
      </c>
      <c r="W27" s="63"/>
    </row>
    <row r="28" spans="1:23" x14ac:dyDescent="0.25">
      <c r="A28">
        <v>3</v>
      </c>
      <c r="B28" t="s">
        <v>186</v>
      </c>
      <c r="C28" t="s">
        <v>189</v>
      </c>
      <c r="D28" t="s">
        <v>197</v>
      </c>
      <c r="E28" t="str">
        <f>IF(StatusBranchGrade[[#This Row],[Status]] = "CYS", "DoD", StatusBranchGrade[[#This Row],[Rank]] &amp; "")</f>
        <v>DoD</v>
      </c>
      <c r="F28" t="s">
        <v>197</v>
      </c>
      <c r="G28" t="str">
        <f>IF(StatusBranchGrade[[#This Row],[Rank]] = StatusBranchGrade[[#This Row],[Grade]], StatusBranchGrade[[#This Row],[Rank]], StatusBranchGrade[[#This Row],[Grade]] &amp; "/" &amp; StatusBranchGrade[[#This Row],[Rank]]) &amp; ""</f>
        <v>Support</v>
      </c>
      <c r="H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Support</v>
      </c>
      <c r="I28" s="17" t="str">
        <f>SUBSTITUTE(SUBSTITUTE(SUBSTITUTE(StatusBranchGrade[[#This Row],[Status]] &amp; "  /  " &amp; StatusBranchGrade[[#This Row],[Branch]] &amp; ";", "  /  ;", ";"), "  /  ;", ";"), ";", "")</f>
        <v>CYS  /  MST</v>
      </c>
      <c r="J28">
        <v>12</v>
      </c>
      <c r="K28" s="17" t="str">
        <f>IF(LEFT(StatusBranchGrade[[#This Row],[Which]], 1) = "1", StatusBranchGrade[[#This Row],[Key]], "")</f>
        <v>CYS  /  MST  /  Support</v>
      </c>
      <c r="L28" s="17" t="str">
        <f>IF(LEFT(StatusBranchGrade[[#This Row],[Which]], 1) = "1", StatusBranchGrade[[#This Row],[Key0]], "")</f>
        <v>CYS  /  MST</v>
      </c>
      <c r="M28" s="17" t="str">
        <f>IF(RIGHT(StatusBranchGrade[[#This Row],[Which]], 1) = "2", StatusBranchGrade[[#This Row],[Key]], "")</f>
        <v>CYS  /  MST  /  Support</v>
      </c>
      <c r="N28" s="17" t="str">
        <f>IF(RIGHT(StatusBranchGrade[[#This Row],[Which]], 1) = "2", StatusBranchGrade[[#This Row],[Key0]], "")</f>
        <v>CYS  /  MST</v>
      </c>
      <c r="O28" s="17" t="s">
        <v>186</v>
      </c>
      <c r="P28" s="54" t="s">
        <v>142</v>
      </c>
      <c r="Q28" s="63">
        <f>--ISNUMBER(IF(StatusBranchGrade[[#This Row],[Sponsor0]] = 'Calculation Worksheet'!$AV$6 &amp; "  /  " &amp; 'Calculation Worksheet'!$AV$7, 1, ""))</f>
        <v>0</v>
      </c>
      <c r="R28" s="63" t="str">
        <f>IF(StatusBranchGrade[[#This Row],[S1]] = 1, COUNTIF($Q$3:Q28, 1), "")</f>
        <v/>
      </c>
      <c r="S28" s="63" t="str">
        <f>IFERROR(INDEX(StatusBranchGrade[Rank/Grade], MATCH(ROWS($R$3:R28)-1, StatusBranchGrade[S2], 0)), "") &amp; ""</f>
        <v/>
      </c>
      <c r="T28" s="63">
        <f>--ISNUMBER(IF(StatusBranchGrade[[#This Row],[Spouse0]] = 'Calculation Worksheet'!$CG$6 &amp; "  /  " &amp; 'Calculation Worksheet'!$CG$7, 1, ""))</f>
        <v>0</v>
      </c>
      <c r="U28" s="63" t="str">
        <f>IF(StatusBranchGrade[[#This Row],[T1]] = 1, COUNTIF($T$3:T28, 1), "")</f>
        <v/>
      </c>
      <c r="V28" s="63" t="str">
        <f>IFERROR(INDEX(StatusBranchGrade[Rank/Grade], MATCH(ROWS($U$3:U28)-1, StatusBranchGrade[T2], 0)), "") &amp; ""</f>
        <v/>
      </c>
      <c r="W28" s="63"/>
    </row>
    <row r="29" spans="1:23" x14ac:dyDescent="0.25">
      <c r="A29">
        <v>3</v>
      </c>
      <c r="B29" t="s">
        <v>186</v>
      </c>
      <c r="C29" t="s">
        <v>189</v>
      </c>
      <c r="D29" t="s">
        <v>198</v>
      </c>
      <c r="E29" t="str">
        <f>IF(StatusBranchGrade[[#This Row],[Status]] = "CYS", "DoD", StatusBranchGrade[[#This Row],[Rank]] &amp; "")</f>
        <v>DoD</v>
      </c>
      <c r="F29" t="s">
        <v>198</v>
      </c>
      <c r="G29" t="str">
        <f>IF(StatusBranchGrade[[#This Row],[Rank]] = StatusBranchGrade[[#This Row],[Grade]], StatusBranchGrade[[#This Row],[Rank]], StatusBranchGrade[[#This Row],[Grade]] &amp; "/" &amp; StatusBranchGrade[[#This Row],[Rank]]) &amp; ""</f>
        <v>Trainer</v>
      </c>
      <c r="H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MST  /  Trainer</v>
      </c>
      <c r="I29" s="17" t="str">
        <f>SUBSTITUTE(SUBSTITUTE(SUBSTITUTE(StatusBranchGrade[[#This Row],[Status]] &amp; "  /  " &amp; StatusBranchGrade[[#This Row],[Branch]] &amp; ";", "  /  ;", ";"), "  /  ;", ";"), ";", "")</f>
        <v>CYS  /  MST</v>
      </c>
      <c r="J29">
        <v>12</v>
      </c>
      <c r="K29" s="17" t="str">
        <f>IF(LEFT(StatusBranchGrade[[#This Row],[Which]], 1) = "1", StatusBranchGrade[[#This Row],[Key]], "")</f>
        <v>CYS  /  MST  /  Trainer</v>
      </c>
      <c r="L29" s="17" t="str">
        <f>IF(LEFT(StatusBranchGrade[[#This Row],[Which]], 1) = "1", StatusBranchGrade[[#This Row],[Key0]], "")</f>
        <v>CYS  /  MST</v>
      </c>
      <c r="M29" s="17" t="str">
        <f>IF(RIGHT(StatusBranchGrade[[#This Row],[Which]], 1) = "2", StatusBranchGrade[[#This Row],[Key]], "")</f>
        <v>CYS  /  MST  /  Trainer</v>
      </c>
      <c r="N29" s="17" t="str">
        <f>IF(RIGHT(StatusBranchGrade[[#This Row],[Which]], 1) = "2", StatusBranchGrade[[#This Row],[Key0]], "")</f>
        <v>CYS  /  MST</v>
      </c>
      <c r="O29" s="17" t="s">
        <v>186</v>
      </c>
      <c r="P29" s="54" t="s">
        <v>142</v>
      </c>
      <c r="Q29" s="63">
        <f>--ISNUMBER(IF(StatusBranchGrade[[#This Row],[Sponsor0]] = 'Calculation Worksheet'!$AV$6 &amp; "  /  " &amp; 'Calculation Worksheet'!$AV$7, 1, ""))</f>
        <v>0</v>
      </c>
      <c r="R29" s="63" t="str">
        <f>IF(StatusBranchGrade[[#This Row],[S1]] = 1, COUNTIF($Q$3:Q29, 1), "")</f>
        <v/>
      </c>
      <c r="S29" s="63" t="str">
        <f>IFERROR(INDEX(StatusBranchGrade[Rank/Grade], MATCH(ROWS($R$3:R29)-1, StatusBranchGrade[S2], 0)), "") &amp; ""</f>
        <v/>
      </c>
      <c r="T29" s="63">
        <f>--ISNUMBER(IF(StatusBranchGrade[[#This Row],[Spouse0]] = 'Calculation Worksheet'!$CG$6 &amp; "  /  " &amp; 'Calculation Worksheet'!$CG$7, 1, ""))</f>
        <v>0</v>
      </c>
      <c r="U29" s="63" t="str">
        <f>IF(StatusBranchGrade[[#This Row],[T1]] = 1, COUNTIF($T$3:T29, 1), "")</f>
        <v/>
      </c>
      <c r="V29" s="63" t="str">
        <f>IFERROR(INDEX(StatusBranchGrade[Rank/Grade], MATCH(ROWS($U$3:U29)-1, StatusBranchGrade[T2], 0)), "") &amp; ""</f>
        <v/>
      </c>
      <c r="W29" s="63"/>
    </row>
    <row r="30" spans="1:23" x14ac:dyDescent="0.25">
      <c r="A30">
        <v>3</v>
      </c>
      <c r="B30" t="s">
        <v>186</v>
      </c>
      <c r="C30" t="s">
        <v>190</v>
      </c>
      <c r="D30" t="s">
        <v>193</v>
      </c>
      <c r="E30" t="str">
        <f>IF(StatusBranchGrade[[#This Row],[Status]] = "CYS", "DoD", StatusBranchGrade[[#This Row],[Rank]] &amp; "")</f>
        <v>DoD</v>
      </c>
      <c r="F30" t="s">
        <v>193</v>
      </c>
      <c r="G30" t="str">
        <f>IF(StatusBranchGrade[[#This Row],[Rank]] = StatusBranchGrade[[#This Row],[Grade]], StatusBranchGrade[[#This Row],[Rank]], StatusBranchGrade[[#This Row],[Grade]] &amp; "/" &amp; StatusBranchGrade[[#This Row],[Rank]]) &amp; ""</f>
        <v>Admin</v>
      </c>
      <c r="H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Admin</v>
      </c>
      <c r="I30" s="17" t="str">
        <f>SUBSTITUTE(SUBSTITUTE(SUBSTITUTE(StatusBranchGrade[[#This Row],[Status]] &amp; "  /  " &amp; StatusBranchGrade[[#This Row],[Branch]] &amp; ";", "  /  ;", ";"), "  /  ;", ";"), ";", "")</f>
        <v>CYS  /  P&amp;OS</v>
      </c>
      <c r="J30">
        <v>12</v>
      </c>
      <c r="K30" s="17" t="str">
        <f>IF(LEFT(StatusBranchGrade[[#This Row],[Which]], 1) = "1", StatusBranchGrade[[#This Row],[Key]], "")</f>
        <v>CYS  /  P&amp;OS  /  Admin</v>
      </c>
      <c r="L30" s="17" t="str">
        <f>IF(LEFT(StatusBranchGrade[[#This Row],[Which]], 1) = "1", StatusBranchGrade[[#This Row],[Key0]], "")</f>
        <v>CYS  /  P&amp;OS</v>
      </c>
      <c r="M30" s="17" t="str">
        <f>IF(RIGHT(StatusBranchGrade[[#This Row],[Which]], 1) = "2", StatusBranchGrade[[#This Row],[Key]], "")</f>
        <v>CYS  /  P&amp;OS  /  Admin</v>
      </c>
      <c r="N30" s="17" t="str">
        <f>IF(RIGHT(StatusBranchGrade[[#This Row],[Which]], 1) = "2", StatusBranchGrade[[#This Row],[Key0]], "")</f>
        <v>CYS  /  P&amp;OS</v>
      </c>
      <c r="O30" s="17" t="s">
        <v>186</v>
      </c>
      <c r="P30" s="54" t="s">
        <v>142</v>
      </c>
      <c r="Q30" s="63">
        <f>--ISNUMBER(IF(StatusBranchGrade[[#This Row],[Sponsor0]] = 'Calculation Worksheet'!$AV$6 &amp; "  /  " &amp; 'Calculation Worksheet'!$AV$7, 1, ""))</f>
        <v>0</v>
      </c>
      <c r="R30" s="63" t="str">
        <f>IF(StatusBranchGrade[[#This Row],[S1]] = 1, COUNTIF($Q$3:Q30, 1), "")</f>
        <v/>
      </c>
      <c r="S30" s="63" t="str">
        <f>IFERROR(INDEX(StatusBranchGrade[Rank/Grade], MATCH(ROWS($R$3:R30)-1, StatusBranchGrade[S2], 0)), "") &amp; ""</f>
        <v/>
      </c>
      <c r="T30" s="63">
        <f>--ISNUMBER(IF(StatusBranchGrade[[#This Row],[Spouse0]] = 'Calculation Worksheet'!$CG$6 &amp; "  /  " &amp; 'Calculation Worksheet'!$CG$7, 1, ""))</f>
        <v>0</v>
      </c>
      <c r="U30" s="63" t="str">
        <f>IF(StatusBranchGrade[[#This Row],[T1]] = 1, COUNTIF($T$3:T30, 1), "")</f>
        <v/>
      </c>
      <c r="V30" s="63" t="str">
        <f>IFERROR(INDEX(StatusBranchGrade[Rank/Grade], MATCH(ROWS($U$3:U30)-1, StatusBranchGrade[T2], 0)), "") &amp; ""</f>
        <v/>
      </c>
      <c r="W30" s="63"/>
    </row>
    <row r="31" spans="1:23" x14ac:dyDescent="0.25">
      <c r="A31">
        <v>3</v>
      </c>
      <c r="B31" t="s">
        <v>186</v>
      </c>
      <c r="C31" t="s">
        <v>190</v>
      </c>
      <c r="D31" t="s">
        <v>194</v>
      </c>
      <c r="E31" t="str">
        <f>IF(StatusBranchGrade[[#This Row],[Status]] = "CYS", "DoD", StatusBranchGrade[[#This Row],[Rank]] &amp; "")</f>
        <v>DoD</v>
      </c>
      <c r="F31" t="s">
        <v>194</v>
      </c>
      <c r="G31" t="str">
        <f>IF(StatusBranchGrade[[#This Row],[Rank]] = StatusBranchGrade[[#This Row],[Grade]], StatusBranchGrade[[#This Row],[Rank]], StatusBranchGrade[[#This Row],[Grade]] &amp; "/" &amp; StatusBranchGrade[[#This Row],[Rank]]) &amp; ""</f>
        <v>Classroom</v>
      </c>
      <c r="H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Classroom</v>
      </c>
      <c r="I31" s="17" t="str">
        <f>SUBSTITUTE(SUBSTITUTE(SUBSTITUTE(StatusBranchGrade[[#This Row],[Status]] &amp; "  /  " &amp; StatusBranchGrade[[#This Row],[Branch]] &amp; ";", "  /  ;", ";"), "  /  ;", ";"), ";", "")</f>
        <v>CYS  /  P&amp;OS</v>
      </c>
      <c r="J31">
        <v>12</v>
      </c>
      <c r="K31" s="17" t="str">
        <f>IF(LEFT(StatusBranchGrade[[#This Row],[Which]], 1) = "1", StatusBranchGrade[[#This Row],[Key]], "")</f>
        <v>CYS  /  P&amp;OS  /  Classroom</v>
      </c>
      <c r="L31" s="17" t="str">
        <f>IF(LEFT(StatusBranchGrade[[#This Row],[Which]], 1) = "1", StatusBranchGrade[[#This Row],[Key0]], "")</f>
        <v>CYS  /  P&amp;OS</v>
      </c>
      <c r="M31" s="17" t="str">
        <f>IF(RIGHT(StatusBranchGrade[[#This Row],[Which]], 1) = "2", StatusBranchGrade[[#This Row],[Key]], "")</f>
        <v>CYS  /  P&amp;OS  /  Classroom</v>
      </c>
      <c r="N31" s="17" t="str">
        <f>IF(RIGHT(StatusBranchGrade[[#This Row],[Which]], 1) = "2", StatusBranchGrade[[#This Row],[Key0]], "")</f>
        <v>CYS  /  P&amp;OS</v>
      </c>
      <c r="O31" s="17" t="s">
        <v>186</v>
      </c>
      <c r="P31" s="54" t="s">
        <v>142</v>
      </c>
      <c r="Q31" s="63">
        <f>--ISNUMBER(IF(StatusBranchGrade[[#This Row],[Sponsor0]] = 'Calculation Worksheet'!$AV$6 &amp; "  /  " &amp; 'Calculation Worksheet'!$AV$7, 1, ""))</f>
        <v>0</v>
      </c>
      <c r="R31" s="63" t="str">
        <f>IF(StatusBranchGrade[[#This Row],[S1]] = 1, COUNTIF($Q$3:Q31, 1), "")</f>
        <v/>
      </c>
      <c r="S31" s="63" t="str">
        <f>IFERROR(INDEX(StatusBranchGrade[Rank/Grade], MATCH(ROWS($R$3:R31)-1, StatusBranchGrade[S2], 0)), "") &amp; ""</f>
        <v/>
      </c>
      <c r="T31" s="63">
        <f>--ISNUMBER(IF(StatusBranchGrade[[#This Row],[Spouse0]] = 'Calculation Worksheet'!$CG$6 &amp; "  /  " &amp; 'Calculation Worksheet'!$CG$7, 1, ""))</f>
        <v>0</v>
      </c>
      <c r="U31" s="63" t="str">
        <f>IF(StatusBranchGrade[[#This Row],[T1]] = 1, COUNTIF($T$3:T31, 1), "")</f>
        <v/>
      </c>
      <c r="V31" s="63" t="str">
        <f>IFERROR(INDEX(StatusBranchGrade[Rank/Grade], MATCH(ROWS($U$3:U31)-1, StatusBranchGrade[T2], 0)), "") &amp; ""</f>
        <v/>
      </c>
      <c r="W31" s="63"/>
    </row>
    <row r="32" spans="1:23" x14ac:dyDescent="0.25">
      <c r="A32">
        <v>3</v>
      </c>
      <c r="B32" t="s">
        <v>186</v>
      </c>
      <c r="C32" t="s">
        <v>190</v>
      </c>
      <c r="D32" t="s">
        <v>195</v>
      </c>
      <c r="E32" t="str">
        <f>IF(StatusBranchGrade[[#This Row],[Status]] = "CYS", "DoD", StatusBranchGrade[[#This Row],[Rank]] &amp; "")</f>
        <v>DoD</v>
      </c>
      <c r="F32" t="s">
        <v>195</v>
      </c>
      <c r="G32" t="str">
        <f>IF(StatusBranchGrade[[#This Row],[Rank]] = StatusBranchGrade[[#This Row],[Grade]], StatusBranchGrade[[#This Row],[Rank]], StatusBranchGrade[[#This Row],[Grade]] &amp; "/" &amp; StatusBranchGrade[[#This Row],[Rank]]) &amp; ""</f>
        <v>Food</v>
      </c>
      <c r="H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Food</v>
      </c>
      <c r="I32" s="17" t="str">
        <f>SUBSTITUTE(SUBSTITUTE(SUBSTITUTE(StatusBranchGrade[[#This Row],[Status]] &amp; "  /  " &amp; StatusBranchGrade[[#This Row],[Branch]] &amp; ";", "  /  ;", ";"), "  /  ;", ";"), ";", "")</f>
        <v>CYS  /  P&amp;OS</v>
      </c>
      <c r="J32">
        <v>12</v>
      </c>
      <c r="K32" s="17" t="str">
        <f>IF(LEFT(StatusBranchGrade[[#This Row],[Which]], 1) = "1", StatusBranchGrade[[#This Row],[Key]], "")</f>
        <v>CYS  /  P&amp;OS  /  Food</v>
      </c>
      <c r="L32" s="17" t="str">
        <f>IF(LEFT(StatusBranchGrade[[#This Row],[Which]], 1) = "1", StatusBranchGrade[[#This Row],[Key0]], "")</f>
        <v>CYS  /  P&amp;OS</v>
      </c>
      <c r="M32" s="17" t="str">
        <f>IF(RIGHT(StatusBranchGrade[[#This Row],[Which]], 1) = "2", StatusBranchGrade[[#This Row],[Key]], "")</f>
        <v>CYS  /  P&amp;OS  /  Food</v>
      </c>
      <c r="N32" s="17" t="str">
        <f>IF(RIGHT(StatusBranchGrade[[#This Row],[Which]], 1) = "2", StatusBranchGrade[[#This Row],[Key0]], "")</f>
        <v>CYS  /  P&amp;OS</v>
      </c>
      <c r="O32" s="17" t="s">
        <v>186</v>
      </c>
      <c r="P32" s="54" t="s">
        <v>142</v>
      </c>
      <c r="Q32" s="63">
        <f>--ISNUMBER(IF(StatusBranchGrade[[#This Row],[Sponsor0]] = 'Calculation Worksheet'!$AV$6 &amp; "  /  " &amp; 'Calculation Worksheet'!$AV$7, 1, ""))</f>
        <v>0</v>
      </c>
      <c r="R32" s="63" t="str">
        <f>IF(StatusBranchGrade[[#This Row],[S1]] = 1, COUNTIF($Q$3:Q32, 1), "")</f>
        <v/>
      </c>
      <c r="S32" s="63" t="str">
        <f>IFERROR(INDEX(StatusBranchGrade[Rank/Grade], MATCH(ROWS($R$3:R32)-1, StatusBranchGrade[S2], 0)), "") &amp; ""</f>
        <v/>
      </c>
      <c r="T32" s="63">
        <f>--ISNUMBER(IF(StatusBranchGrade[[#This Row],[Spouse0]] = 'Calculation Worksheet'!$CG$6 &amp; "  /  " &amp; 'Calculation Worksheet'!$CG$7, 1, ""))</f>
        <v>0</v>
      </c>
      <c r="U32" s="63" t="str">
        <f>IF(StatusBranchGrade[[#This Row],[T1]] = 1, COUNTIF($T$3:T32, 1), "")</f>
        <v/>
      </c>
      <c r="V32" s="63" t="str">
        <f>IFERROR(INDEX(StatusBranchGrade[Rank/Grade], MATCH(ROWS($U$3:U32)-1, StatusBranchGrade[T2], 0)), "") &amp; ""</f>
        <v/>
      </c>
      <c r="W32" s="63"/>
    </row>
    <row r="33" spans="1:23" x14ac:dyDescent="0.25">
      <c r="A33">
        <v>3</v>
      </c>
      <c r="B33" t="s">
        <v>186</v>
      </c>
      <c r="C33" t="s">
        <v>190</v>
      </c>
      <c r="D33" t="s">
        <v>196</v>
      </c>
      <c r="E33" t="str">
        <f>IF(StatusBranchGrade[[#This Row],[Status]] = "CYS", "DoD", StatusBranchGrade[[#This Row],[Rank]] &amp; "")</f>
        <v>DoD</v>
      </c>
      <c r="F33" t="s">
        <v>196</v>
      </c>
      <c r="G33" t="str">
        <f>IF(StatusBranchGrade[[#This Row],[Rank]] = StatusBranchGrade[[#This Row],[Grade]], StatusBranchGrade[[#This Row],[Rank]], StatusBranchGrade[[#This Row],[Grade]] &amp; "/" &amp; StatusBranchGrade[[#This Row],[Rank]]) &amp; ""</f>
        <v>Mgmt</v>
      </c>
      <c r="H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Mgmt</v>
      </c>
      <c r="I33" s="17" t="str">
        <f>SUBSTITUTE(SUBSTITUTE(SUBSTITUTE(StatusBranchGrade[[#This Row],[Status]] &amp; "  /  " &amp; StatusBranchGrade[[#This Row],[Branch]] &amp; ";", "  /  ;", ";"), "  /  ;", ";"), ";", "")</f>
        <v>CYS  /  P&amp;OS</v>
      </c>
      <c r="J33">
        <v>12</v>
      </c>
      <c r="K33" s="17" t="str">
        <f>IF(LEFT(StatusBranchGrade[[#This Row],[Which]], 1) = "1", StatusBranchGrade[[#This Row],[Key]], "")</f>
        <v>CYS  /  P&amp;OS  /  Mgmt</v>
      </c>
      <c r="L33" s="17" t="str">
        <f>IF(LEFT(StatusBranchGrade[[#This Row],[Which]], 1) = "1", StatusBranchGrade[[#This Row],[Key0]], "")</f>
        <v>CYS  /  P&amp;OS</v>
      </c>
      <c r="M33" s="17" t="str">
        <f>IF(RIGHT(StatusBranchGrade[[#This Row],[Which]], 1) = "2", StatusBranchGrade[[#This Row],[Key]], "")</f>
        <v>CYS  /  P&amp;OS  /  Mgmt</v>
      </c>
      <c r="N33" s="17" t="str">
        <f>IF(RIGHT(StatusBranchGrade[[#This Row],[Which]], 1) = "2", StatusBranchGrade[[#This Row],[Key0]], "")</f>
        <v>CYS  /  P&amp;OS</v>
      </c>
      <c r="O33" s="17" t="s">
        <v>186</v>
      </c>
      <c r="P33" s="54" t="s">
        <v>142</v>
      </c>
      <c r="Q33" s="63">
        <f>--ISNUMBER(IF(StatusBranchGrade[[#This Row],[Sponsor0]] = 'Calculation Worksheet'!$AV$6 &amp; "  /  " &amp; 'Calculation Worksheet'!$AV$7, 1, ""))</f>
        <v>0</v>
      </c>
      <c r="R33" s="63" t="str">
        <f>IF(StatusBranchGrade[[#This Row],[S1]] = 1, COUNTIF($Q$3:Q33, 1), "")</f>
        <v/>
      </c>
      <c r="S33" s="63" t="str">
        <f>IFERROR(INDEX(StatusBranchGrade[Rank/Grade], MATCH(ROWS($R$3:R33)-1, StatusBranchGrade[S2], 0)), "") &amp; ""</f>
        <v/>
      </c>
      <c r="T33" s="63">
        <f>--ISNUMBER(IF(StatusBranchGrade[[#This Row],[Spouse0]] = 'Calculation Worksheet'!$CG$6 &amp; "  /  " &amp; 'Calculation Worksheet'!$CG$7, 1, ""))</f>
        <v>0</v>
      </c>
      <c r="U33" s="63" t="str">
        <f>IF(StatusBranchGrade[[#This Row],[T1]] = 1, COUNTIF($T$3:T33, 1), "")</f>
        <v/>
      </c>
      <c r="V33" s="63" t="str">
        <f>IFERROR(INDEX(StatusBranchGrade[Rank/Grade], MATCH(ROWS($U$3:U33)-1, StatusBranchGrade[T2], 0)), "") &amp; ""</f>
        <v/>
      </c>
      <c r="W33" s="63"/>
    </row>
    <row r="34" spans="1:23" x14ac:dyDescent="0.25">
      <c r="A34">
        <v>3</v>
      </c>
      <c r="B34" t="s">
        <v>186</v>
      </c>
      <c r="C34" t="s">
        <v>190</v>
      </c>
      <c r="D34" t="s">
        <v>197</v>
      </c>
      <c r="E34" t="str">
        <f>IF(StatusBranchGrade[[#This Row],[Status]] = "CYS", "DoD", StatusBranchGrade[[#This Row],[Rank]] &amp; "")</f>
        <v>DoD</v>
      </c>
      <c r="F34" t="s">
        <v>197</v>
      </c>
      <c r="G34" t="str">
        <f>IF(StatusBranchGrade[[#This Row],[Rank]] = StatusBranchGrade[[#This Row],[Grade]], StatusBranchGrade[[#This Row],[Rank]], StatusBranchGrade[[#This Row],[Grade]] &amp; "/" &amp; StatusBranchGrade[[#This Row],[Rank]]) &amp; ""</f>
        <v>Support</v>
      </c>
      <c r="H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Support</v>
      </c>
      <c r="I34" s="17" t="str">
        <f>SUBSTITUTE(SUBSTITUTE(SUBSTITUTE(StatusBranchGrade[[#This Row],[Status]] &amp; "  /  " &amp; StatusBranchGrade[[#This Row],[Branch]] &amp; ";", "  /  ;", ";"), "  /  ;", ";"), ";", "")</f>
        <v>CYS  /  P&amp;OS</v>
      </c>
      <c r="J34">
        <v>12</v>
      </c>
      <c r="K34" s="17" t="str">
        <f>IF(LEFT(StatusBranchGrade[[#This Row],[Which]], 1) = "1", StatusBranchGrade[[#This Row],[Key]], "")</f>
        <v>CYS  /  P&amp;OS  /  Support</v>
      </c>
      <c r="L34" s="17" t="str">
        <f>IF(LEFT(StatusBranchGrade[[#This Row],[Which]], 1) = "1", StatusBranchGrade[[#This Row],[Key0]], "")</f>
        <v>CYS  /  P&amp;OS</v>
      </c>
      <c r="M34" s="17" t="str">
        <f>IF(RIGHT(StatusBranchGrade[[#This Row],[Which]], 1) = "2", StatusBranchGrade[[#This Row],[Key]], "")</f>
        <v>CYS  /  P&amp;OS  /  Support</v>
      </c>
      <c r="N34" s="17" t="str">
        <f>IF(RIGHT(StatusBranchGrade[[#This Row],[Which]], 1) = "2", StatusBranchGrade[[#This Row],[Key0]], "")</f>
        <v>CYS  /  P&amp;OS</v>
      </c>
      <c r="O34" s="17" t="s">
        <v>186</v>
      </c>
      <c r="P34" s="54" t="s">
        <v>142</v>
      </c>
      <c r="Q34" s="63">
        <f>--ISNUMBER(IF(StatusBranchGrade[[#This Row],[Sponsor0]] = 'Calculation Worksheet'!$AV$6 &amp; "  /  " &amp; 'Calculation Worksheet'!$AV$7, 1, ""))</f>
        <v>0</v>
      </c>
      <c r="R34" s="63" t="str">
        <f>IF(StatusBranchGrade[[#This Row],[S1]] = 1, COUNTIF($Q$3:Q34, 1), "")</f>
        <v/>
      </c>
      <c r="S34" s="63" t="str">
        <f>IFERROR(INDEX(StatusBranchGrade[Rank/Grade], MATCH(ROWS($R$3:R34)-1, StatusBranchGrade[S2], 0)), "") &amp; ""</f>
        <v/>
      </c>
      <c r="T34" s="63">
        <f>--ISNUMBER(IF(StatusBranchGrade[[#This Row],[Spouse0]] = 'Calculation Worksheet'!$CG$6 &amp; "  /  " &amp; 'Calculation Worksheet'!$CG$7, 1, ""))</f>
        <v>0</v>
      </c>
      <c r="U34" s="63" t="str">
        <f>IF(StatusBranchGrade[[#This Row],[T1]] = 1, COUNTIF($T$3:T34, 1), "")</f>
        <v/>
      </c>
      <c r="V34" s="63" t="str">
        <f>IFERROR(INDEX(StatusBranchGrade[Rank/Grade], MATCH(ROWS($U$3:U34)-1, StatusBranchGrade[T2], 0)), "") &amp; ""</f>
        <v/>
      </c>
      <c r="W34" s="63"/>
    </row>
    <row r="35" spans="1:23" x14ac:dyDescent="0.25">
      <c r="A35">
        <v>3</v>
      </c>
      <c r="B35" t="s">
        <v>186</v>
      </c>
      <c r="C35" t="s">
        <v>190</v>
      </c>
      <c r="D35" t="s">
        <v>198</v>
      </c>
      <c r="E35" t="str">
        <f>IF(StatusBranchGrade[[#This Row],[Status]] = "CYS", "DoD", StatusBranchGrade[[#This Row],[Rank]] &amp; "")</f>
        <v>DoD</v>
      </c>
      <c r="F35" t="s">
        <v>198</v>
      </c>
      <c r="G35" t="str">
        <f>IF(StatusBranchGrade[[#This Row],[Rank]] = StatusBranchGrade[[#This Row],[Grade]], StatusBranchGrade[[#This Row],[Rank]], StatusBranchGrade[[#This Row],[Grade]] &amp; "/" &amp; StatusBranchGrade[[#This Row],[Rank]]) &amp; ""</f>
        <v>Trainer</v>
      </c>
      <c r="H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P&amp;OS  /  Trainer</v>
      </c>
      <c r="I35" s="17" t="str">
        <f>SUBSTITUTE(SUBSTITUTE(SUBSTITUTE(StatusBranchGrade[[#This Row],[Status]] &amp; "  /  " &amp; StatusBranchGrade[[#This Row],[Branch]] &amp; ";", "  /  ;", ";"), "  /  ;", ";"), ";", "")</f>
        <v>CYS  /  P&amp;OS</v>
      </c>
      <c r="J35">
        <v>12</v>
      </c>
      <c r="K35" s="17" t="str">
        <f>IF(LEFT(StatusBranchGrade[[#This Row],[Which]], 1) = "1", StatusBranchGrade[[#This Row],[Key]], "")</f>
        <v>CYS  /  P&amp;OS  /  Trainer</v>
      </c>
      <c r="L35" s="17" t="str">
        <f>IF(LEFT(StatusBranchGrade[[#This Row],[Which]], 1) = "1", StatusBranchGrade[[#This Row],[Key0]], "")</f>
        <v>CYS  /  P&amp;OS</v>
      </c>
      <c r="M35" s="17" t="str">
        <f>IF(RIGHT(StatusBranchGrade[[#This Row],[Which]], 1) = "2", StatusBranchGrade[[#This Row],[Key]], "")</f>
        <v>CYS  /  P&amp;OS  /  Trainer</v>
      </c>
      <c r="N35" s="17" t="str">
        <f>IF(RIGHT(StatusBranchGrade[[#This Row],[Which]], 1) = "2", StatusBranchGrade[[#This Row],[Key0]], "")</f>
        <v>CYS  /  P&amp;OS</v>
      </c>
      <c r="O35" s="17" t="s">
        <v>186</v>
      </c>
      <c r="P35" s="54" t="s">
        <v>142</v>
      </c>
      <c r="Q35" s="63">
        <f>--ISNUMBER(IF(StatusBranchGrade[[#This Row],[Sponsor0]] = 'Calculation Worksheet'!$AV$6 &amp; "  /  " &amp; 'Calculation Worksheet'!$AV$7, 1, ""))</f>
        <v>0</v>
      </c>
      <c r="R35" s="63" t="str">
        <f>IF(StatusBranchGrade[[#This Row],[S1]] = 1, COUNTIF($Q$3:Q35, 1), "")</f>
        <v/>
      </c>
      <c r="S35" s="63" t="str">
        <f>IFERROR(INDEX(StatusBranchGrade[Rank/Grade], MATCH(ROWS($R$3:R35)-1, StatusBranchGrade[S2], 0)), "") &amp; ""</f>
        <v/>
      </c>
      <c r="T35" s="63">
        <f>--ISNUMBER(IF(StatusBranchGrade[[#This Row],[Spouse0]] = 'Calculation Worksheet'!$CG$6 &amp; "  /  " &amp; 'Calculation Worksheet'!$CG$7, 1, ""))</f>
        <v>0</v>
      </c>
      <c r="U35" s="63" t="str">
        <f>IF(StatusBranchGrade[[#This Row],[T1]] = 1, COUNTIF($T$3:T35, 1), "")</f>
        <v/>
      </c>
      <c r="V35" s="63" t="str">
        <f>IFERROR(INDEX(StatusBranchGrade[Rank/Grade], MATCH(ROWS($U$3:U35)-1, StatusBranchGrade[T2], 0)), "") &amp; ""</f>
        <v/>
      </c>
      <c r="W35" s="63"/>
    </row>
    <row r="36" spans="1:23" x14ac:dyDescent="0.25">
      <c r="A36">
        <v>3</v>
      </c>
      <c r="B36" t="s">
        <v>186</v>
      </c>
      <c r="C36" t="s">
        <v>191</v>
      </c>
      <c r="D36" t="s">
        <v>193</v>
      </c>
      <c r="E36" t="str">
        <f>IF(StatusBranchGrade[[#This Row],[Status]] = "CYS", "DoD", StatusBranchGrade[[#This Row],[Rank]] &amp; "")</f>
        <v>DoD</v>
      </c>
      <c r="F36" t="s">
        <v>193</v>
      </c>
      <c r="G36" t="str">
        <f>IF(StatusBranchGrade[[#This Row],[Rank]] = StatusBranchGrade[[#This Row],[Grade]], StatusBranchGrade[[#This Row],[Rank]], StatusBranchGrade[[#This Row],[Grade]] &amp; "/" &amp; StatusBranchGrade[[#This Row],[Rank]]) &amp; ""</f>
        <v>Admin</v>
      </c>
      <c r="H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Admin</v>
      </c>
      <c r="I36" s="17" t="str">
        <f>SUBSTITUTE(SUBSTITUTE(SUBSTITUTE(StatusBranchGrade[[#This Row],[Status]] &amp; "  /  " &amp; StatusBranchGrade[[#This Row],[Branch]] &amp; ";", "  /  ;", ";"), "  /  ;", ";"), ";", "")</f>
        <v>CYS  /  SAC</v>
      </c>
      <c r="J36">
        <v>12</v>
      </c>
      <c r="K36" s="17" t="str">
        <f>IF(LEFT(StatusBranchGrade[[#This Row],[Which]], 1) = "1", StatusBranchGrade[[#This Row],[Key]], "")</f>
        <v>CYS  /  SAC  /  Admin</v>
      </c>
      <c r="L36" s="17" t="str">
        <f>IF(LEFT(StatusBranchGrade[[#This Row],[Which]], 1) = "1", StatusBranchGrade[[#This Row],[Key0]], "")</f>
        <v>CYS  /  SAC</v>
      </c>
      <c r="M36" s="17" t="str">
        <f>IF(RIGHT(StatusBranchGrade[[#This Row],[Which]], 1) = "2", StatusBranchGrade[[#This Row],[Key]], "")</f>
        <v>CYS  /  SAC  /  Admin</v>
      </c>
      <c r="N36" s="17" t="str">
        <f>IF(RIGHT(StatusBranchGrade[[#This Row],[Which]], 1) = "2", StatusBranchGrade[[#This Row],[Key0]], "")</f>
        <v>CYS  /  SAC</v>
      </c>
      <c r="O36" s="17" t="s">
        <v>186</v>
      </c>
      <c r="P36" s="55" t="s">
        <v>142</v>
      </c>
      <c r="Q36" s="63">
        <f>--ISNUMBER(IF(StatusBranchGrade[[#This Row],[Sponsor0]] = 'Calculation Worksheet'!$AV$6 &amp; "  /  " &amp; 'Calculation Worksheet'!$AV$7, 1, ""))</f>
        <v>0</v>
      </c>
      <c r="R36" s="63" t="str">
        <f>IF(StatusBranchGrade[[#This Row],[S1]] = 1, COUNTIF($Q$3:Q36, 1), "")</f>
        <v/>
      </c>
      <c r="S36" s="63" t="str">
        <f>IFERROR(INDEX(StatusBranchGrade[Rank/Grade], MATCH(ROWS($R$3:R36)-1, StatusBranchGrade[S2], 0)), "") &amp; ""</f>
        <v/>
      </c>
      <c r="T36" s="63">
        <f>--ISNUMBER(IF(StatusBranchGrade[[#This Row],[Spouse0]] = 'Calculation Worksheet'!$CG$6 &amp; "  /  " &amp; 'Calculation Worksheet'!$CG$7, 1, ""))</f>
        <v>0</v>
      </c>
      <c r="U36" s="63" t="str">
        <f>IF(StatusBranchGrade[[#This Row],[T1]] = 1, COUNTIF($T$3:T36, 1), "")</f>
        <v/>
      </c>
      <c r="V36" s="63" t="str">
        <f>IFERROR(INDEX(StatusBranchGrade[Rank/Grade], MATCH(ROWS($U$3:U36)-1, StatusBranchGrade[T2], 0)), "") &amp; ""</f>
        <v/>
      </c>
      <c r="W36" s="63"/>
    </row>
    <row r="37" spans="1:23" x14ac:dyDescent="0.25">
      <c r="A37">
        <v>3</v>
      </c>
      <c r="B37" t="s">
        <v>186</v>
      </c>
      <c r="C37" t="s">
        <v>191</v>
      </c>
      <c r="D37" t="s">
        <v>194</v>
      </c>
      <c r="E37" t="str">
        <f>IF(StatusBranchGrade[[#This Row],[Status]] = "CYS", "DoD", StatusBranchGrade[[#This Row],[Rank]] &amp; "")</f>
        <v>DoD</v>
      </c>
      <c r="F37" t="s">
        <v>194</v>
      </c>
      <c r="G37" t="str">
        <f>IF(StatusBranchGrade[[#This Row],[Rank]] = StatusBranchGrade[[#This Row],[Grade]], StatusBranchGrade[[#This Row],[Rank]], StatusBranchGrade[[#This Row],[Grade]] &amp; "/" &amp; StatusBranchGrade[[#This Row],[Rank]]) &amp; ""</f>
        <v>Classroom</v>
      </c>
      <c r="H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Classroom</v>
      </c>
      <c r="I37" s="17" t="str">
        <f>SUBSTITUTE(SUBSTITUTE(SUBSTITUTE(StatusBranchGrade[[#This Row],[Status]] &amp; "  /  " &amp; StatusBranchGrade[[#This Row],[Branch]] &amp; ";", "  /  ;", ";"), "  /  ;", ";"), ";", "")</f>
        <v>CYS  /  SAC</v>
      </c>
      <c r="J37">
        <v>12</v>
      </c>
      <c r="K37" s="17" t="str">
        <f>IF(LEFT(StatusBranchGrade[[#This Row],[Which]], 1) = "1", StatusBranchGrade[[#This Row],[Key]], "")</f>
        <v>CYS  /  SAC  /  Classroom</v>
      </c>
      <c r="L37" s="17" t="str">
        <f>IF(LEFT(StatusBranchGrade[[#This Row],[Which]], 1) = "1", StatusBranchGrade[[#This Row],[Key0]], "")</f>
        <v>CYS  /  SAC</v>
      </c>
      <c r="M37" s="17" t="str">
        <f>IF(RIGHT(StatusBranchGrade[[#This Row],[Which]], 1) = "2", StatusBranchGrade[[#This Row],[Key]], "")</f>
        <v>CYS  /  SAC  /  Classroom</v>
      </c>
      <c r="N37" s="17" t="str">
        <f>IF(RIGHT(StatusBranchGrade[[#This Row],[Which]], 1) = "2", StatusBranchGrade[[#This Row],[Key0]], "")</f>
        <v>CYS  /  SAC</v>
      </c>
      <c r="O37" s="17" t="s">
        <v>186</v>
      </c>
      <c r="P37" s="55" t="s">
        <v>142</v>
      </c>
      <c r="Q37" s="63">
        <f>--ISNUMBER(IF(StatusBranchGrade[[#This Row],[Sponsor0]] = 'Calculation Worksheet'!$AV$6 &amp; "  /  " &amp; 'Calculation Worksheet'!$AV$7, 1, ""))</f>
        <v>0</v>
      </c>
      <c r="R37" s="63" t="str">
        <f>IF(StatusBranchGrade[[#This Row],[S1]] = 1, COUNTIF($Q$3:Q37, 1), "")</f>
        <v/>
      </c>
      <c r="S37" s="63" t="str">
        <f>IFERROR(INDEX(StatusBranchGrade[Rank/Grade], MATCH(ROWS($R$3:R37)-1, StatusBranchGrade[S2], 0)), "") &amp; ""</f>
        <v/>
      </c>
      <c r="T37" s="63">
        <f>--ISNUMBER(IF(StatusBranchGrade[[#This Row],[Spouse0]] = 'Calculation Worksheet'!$CG$6 &amp; "  /  " &amp; 'Calculation Worksheet'!$CG$7, 1, ""))</f>
        <v>0</v>
      </c>
      <c r="U37" s="63" t="str">
        <f>IF(StatusBranchGrade[[#This Row],[T1]] = 1, COUNTIF($T$3:T37, 1), "")</f>
        <v/>
      </c>
      <c r="V37" s="63" t="str">
        <f>IFERROR(INDEX(StatusBranchGrade[Rank/Grade], MATCH(ROWS($U$3:U37)-1, StatusBranchGrade[T2], 0)), "") &amp; ""</f>
        <v/>
      </c>
      <c r="W37" s="63"/>
    </row>
    <row r="38" spans="1:23" x14ac:dyDescent="0.25">
      <c r="A38">
        <v>3</v>
      </c>
      <c r="B38" t="s">
        <v>186</v>
      </c>
      <c r="C38" t="s">
        <v>191</v>
      </c>
      <c r="D38" t="s">
        <v>195</v>
      </c>
      <c r="E38" t="str">
        <f>IF(StatusBranchGrade[[#This Row],[Status]] = "CYS", "DoD", StatusBranchGrade[[#This Row],[Rank]] &amp; "")</f>
        <v>DoD</v>
      </c>
      <c r="F38" t="s">
        <v>195</v>
      </c>
      <c r="G38" t="str">
        <f>IF(StatusBranchGrade[[#This Row],[Rank]] = StatusBranchGrade[[#This Row],[Grade]], StatusBranchGrade[[#This Row],[Rank]], StatusBranchGrade[[#This Row],[Grade]] &amp; "/" &amp; StatusBranchGrade[[#This Row],[Rank]]) &amp; ""</f>
        <v>Food</v>
      </c>
      <c r="H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Food</v>
      </c>
      <c r="I38" s="17" t="str">
        <f>SUBSTITUTE(SUBSTITUTE(SUBSTITUTE(StatusBranchGrade[[#This Row],[Status]] &amp; "  /  " &amp; StatusBranchGrade[[#This Row],[Branch]] &amp; ";", "  /  ;", ";"), "  /  ;", ";"), ";", "")</f>
        <v>CYS  /  SAC</v>
      </c>
      <c r="J38">
        <v>12</v>
      </c>
      <c r="K38" s="17" t="str">
        <f>IF(LEFT(StatusBranchGrade[[#This Row],[Which]], 1) = "1", StatusBranchGrade[[#This Row],[Key]], "")</f>
        <v>CYS  /  SAC  /  Food</v>
      </c>
      <c r="L38" s="17" t="str">
        <f>IF(LEFT(StatusBranchGrade[[#This Row],[Which]], 1) = "1", StatusBranchGrade[[#This Row],[Key0]], "")</f>
        <v>CYS  /  SAC</v>
      </c>
      <c r="M38" s="17" t="str">
        <f>IF(RIGHT(StatusBranchGrade[[#This Row],[Which]], 1) = "2", StatusBranchGrade[[#This Row],[Key]], "")</f>
        <v>CYS  /  SAC  /  Food</v>
      </c>
      <c r="N38" s="17" t="str">
        <f>IF(RIGHT(StatusBranchGrade[[#This Row],[Which]], 1) = "2", StatusBranchGrade[[#This Row],[Key0]], "")</f>
        <v>CYS  /  SAC</v>
      </c>
      <c r="O38" s="17" t="s">
        <v>186</v>
      </c>
      <c r="P38" s="55" t="s">
        <v>142</v>
      </c>
      <c r="Q38" s="63">
        <f>--ISNUMBER(IF(StatusBranchGrade[[#This Row],[Sponsor0]] = 'Calculation Worksheet'!$AV$6 &amp; "  /  " &amp; 'Calculation Worksheet'!$AV$7, 1, ""))</f>
        <v>0</v>
      </c>
      <c r="R38" s="63" t="str">
        <f>IF(StatusBranchGrade[[#This Row],[S1]] = 1, COUNTIF($Q$3:Q38, 1), "")</f>
        <v/>
      </c>
      <c r="S38" s="63" t="str">
        <f>IFERROR(INDEX(StatusBranchGrade[Rank/Grade], MATCH(ROWS($R$3:R38)-1, StatusBranchGrade[S2], 0)), "") &amp; ""</f>
        <v/>
      </c>
      <c r="T38" s="63">
        <f>--ISNUMBER(IF(StatusBranchGrade[[#This Row],[Spouse0]] = 'Calculation Worksheet'!$CG$6 &amp; "  /  " &amp; 'Calculation Worksheet'!$CG$7, 1, ""))</f>
        <v>0</v>
      </c>
      <c r="U38" s="63" t="str">
        <f>IF(StatusBranchGrade[[#This Row],[T1]] = 1, COUNTIF($T$3:T38, 1), "")</f>
        <v/>
      </c>
      <c r="V38" s="63" t="str">
        <f>IFERROR(INDEX(StatusBranchGrade[Rank/Grade], MATCH(ROWS($U$3:U38)-1, StatusBranchGrade[T2], 0)), "") &amp; ""</f>
        <v/>
      </c>
      <c r="W38" s="63"/>
    </row>
    <row r="39" spans="1:23" x14ac:dyDescent="0.25">
      <c r="A39">
        <v>3</v>
      </c>
      <c r="B39" t="s">
        <v>186</v>
      </c>
      <c r="C39" t="s">
        <v>191</v>
      </c>
      <c r="D39" t="s">
        <v>196</v>
      </c>
      <c r="E39" t="str">
        <f>IF(StatusBranchGrade[[#This Row],[Status]] = "CYS", "DoD", StatusBranchGrade[[#This Row],[Rank]] &amp; "")</f>
        <v>DoD</v>
      </c>
      <c r="F39" t="s">
        <v>196</v>
      </c>
      <c r="G39" t="str">
        <f>IF(StatusBranchGrade[[#This Row],[Rank]] = StatusBranchGrade[[#This Row],[Grade]], StatusBranchGrade[[#This Row],[Rank]], StatusBranchGrade[[#This Row],[Grade]] &amp; "/" &amp; StatusBranchGrade[[#This Row],[Rank]]) &amp; ""</f>
        <v>Mgmt</v>
      </c>
      <c r="H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Mgmt</v>
      </c>
      <c r="I39" s="17" t="str">
        <f>SUBSTITUTE(SUBSTITUTE(SUBSTITUTE(StatusBranchGrade[[#This Row],[Status]] &amp; "  /  " &amp; StatusBranchGrade[[#This Row],[Branch]] &amp; ";", "  /  ;", ";"), "  /  ;", ";"), ";", "")</f>
        <v>CYS  /  SAC</v>
      </c>
      <c r="J39">
        <v>12</v>
      </c>
      <c r="K39" s="17" t="str">
        <f>IF(LEFT(StatusBranchGrade[[#This Row],[Which]], 1) = "1", StatusBranchGrade[[#This Row],[Key]], "")</f>
        <v>CYS  /  SAC  /  Mgmt</v>
      </c>
      <c r="L39" s="17" t="str">
        <f>IF(LEFT(StatusBranchGrade[[#This Row],[Which]], 1) = "1", StatusBranchGrade[[#This Row],[Key0]], "")</f>
        <v>CYS  /  SAC</v>
      </c>
      <c r="M39" s="17" t="str">
        <f>IF(RIGHT(StatusBranchGrade[[#This Row],[Which]], 1) = "2", StatusBranchGrade[[#This Row],[Key]], "")</f>
        <v>CYS  /  SAC  /  Mgmt</v>
      </c>
      <c r="N39" s="17" t="str">
        <f>IF(RIGHT(StatusBranchGrade[[#This Row],[Which]], 1) = "2", StatusBranchGrade[[#This Row],[Key0]], "")</f>
        <v>CYS  /  SAC</v>
      </c>
      <c r="O39" s="17" t="s">
        <v>186</v>
      </c>
      <c r="P39" s="55" t="s">
        <v>142</v>
      </c>
      <c r="Q39" s="63">
        <f>--ISNUMBER(IF(StatusBranchGrade[[#This Row],[Sponsor0]] = 'Calculation Worksheet'!$AV$6 &amp; "  /  " &amp; 'Calculation Worksheet'!$AV$7, 1, ""))</f>
        <v>0</v>
      </c>
      <c r="R39" s="63" t="str">
        <f>IF(StatusBranchGrade[[#This Row],[S1]] = 1, COUNTIF($Q$3:Q39, 1), "")</f>
        <v/>
      </c>
      <c r="S39" s="63" t="str">
        <f>IFERROR(INDEX(StatusBranchGrade[Rank/Grade], MATCH(ROWS($R$3:R39)-1, StatusBranchGrade[S2], 0)), "") &amp; ""</f>
        <v/>
      </c>
      <c r="T39" s="63">
        <f>--ISNUMBER(IF(StatusBranchGrade[[#This Row],[Spouse0]] = 'Calculation Worksheet'!$CG$6 &amp; "  /  " &amp; 'Calculation Worksheet'!$CG$7, 1, ""))</f>
        <v>0</v>
      </c>
      <c r="U39" s="63" t="str">
        <f>IF(StatusBranchGrade[[#This Row],[T1]] = 1, COUNTIF($T$3:T39, 1), "")</f>
        <v/>
      </c>
      <c r="V39" s="63" t="str">
        <f>IFERROR(INDEX(StatusBranchGrade[Rank/Grade], MATCH(ROWS($U$3:U39)-1, StatusBranchGrade[T2], 0)), "") &amp; ""</f>
        <v/>
      </c>
      <c r="W39" s="63"/>
    </row>
    <row r="40" spans="1:23" x14ac:dyDescent="0.25">
      <c r="A40">
        <v>3</v>
      </c>
      <c r="B40" t="s">
        <v>186</v>
      </c>
      <c r="C40" t="s">
        <v>191</v>
      </c>
      <c r="D40" t="s">
        <v>197</v>
      </c>
      <c r="E40" t="str">
        <f>IF(StatusBranchGrade[[#This Row],[Status]] = "CYS", "DoD", StatusBranchGrade[[#This Row],[Rank]] &amp; "")</f>
        <v>DoD</v>
      </c>
      <c r="F40" t="s">
        <v>197</v>
      </c>
      <c r="G40" t="str">
        <f>IF(StatusBranchGrade[[#This Row],[Rank]] = StatusBranchGrade[[#This Row],[Grade]], StatusBranchGrade[[#This Row],[Rank]], StatusBranchGrade[[#This Row],[Grade]] &amp; "/" &amp; StatusBranchGrade[[#This Row],[Rank]]) &amp; ""</f>
        <v>Support</v>
      </c>
      <c r="H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Support</v>
      </c>
      <c r="I40" s="17" t="str">
        <f>SUBSTITUTE(SUBSTITUTE(SUBSTITUTE(StatusBranchGrade[[#This Row],[Status]] &amp; "  /  " &amp; StatusBranchGrade[[#This Row],[Branch]] &amp; ";", "  /  ;", ";"), "  /  ;", ";"), ";", "")</f>
        <v>CYS  /  SAC</v>
      </c>
      <c r="J40">
        <v>12</v>
      </c>
      <c r="K40" s="17" t="str">
        <f>IF(LEFT(StatusBranchGrade[[#This Row],[Which]], 1) = "1", StatusBranchGrade[[#This Row],[Key]], "")</f>
        <v>CYS  /  SAC  /  Support</v>
      </c>
      <c r="L40" s="17" t="str">
        <f>IF(LEFT(StatusBranchGrade[[#This Row],[Which]], 1) = "1", StatusBranchGrade[[#This Row],[Key0]], "")</f>
        <v>CYS  /  SAC</v>
      </c>
      <c r="M40" s="17" t="str">
        <f>IF(RIGHT(StatusBranchGrade[[#This Row],[Which]], 1) = "2", StatusBranchGrade[[#This Row],[Key]], "")</f>
        <v>CYS  /  SAC  /  Support</v>
      </c>
      <c r="N40" s="17" t="str">
        <f>IF(RIGHT(StatusBranchGrade[[#This Row],[Which]], 1) = "2", StatusBranchGrade[[#This Row],[Key0]], "")</f>
        <v>CYS  /  SAC</v>
      </c>
      <c r="O40" s="17" t="s">
        <v>186</v>
      </c>
      <c r="P40" s="54" t="s">
        <v>142</v>
      </c>
      <c r="Q40" s="63">
        <f>--ISNUMBER(IF(StatusBranchGrade[[#This Row],[Sponsor0]] = 'Calculation Worksheet'!$AV$6 &amp; "  /  " &amp; 'Calculation Worksheet'!$AV$7, 1, ""))</f>
        <v>0</v>
      </c>
      <c r="R40" s="63" t="str">
        <f>IF(StatusBranchGrade[[#This Row],[S1]] = 1, COUNTIF($Q$3:Q40, 1), "")</f>
        <v/>
      </c>
      <c r="S40" s="63" t="str">
        <f>IFERROR(INDEX(StatusBranchGrade[Rank/Grade], MATCH(ROWS($R$3:R40)-1, StatusBranchGrade[S2], 0)), "") &amp; ""</f>
        <v/>
      </c>
      <c r="T40" s="63">
        <f>--ISNUMBER(IF(StatusBranchGrade[[#This Row],[Spouse0]] = 'Calculation Worksheet'!$CG$6 &amp; "  /  " &amp; 'Calculation Worksheet'!$CG$7, 1, ""))</f>
        <v>0</v>
      </c>
      <c r="U40" s="63" t="str">
        <f>IF(StatusBranchGrade[[#This Row],[T1]] = 1, COUNTIF($T$3:T40, 1), "")</f>
        <v/>
      </c>
      <c r="V40" s="63" t="str">
        <f>IFERROR(INDEX(StatusBranchGrade[Rank/Grade], MATCH(ROWS($U$3:U40)-1, StatusBranchGrade[T2], 0)), "") &amp; ""</f>
        <v/>
      </c>
      <c r="W40" s="63"/>
    </row>
    <row r="41" spans="1:23" x14ac:dyDescent="0.25">
      <c r="A41">
        <v>3</v>
      </c>
      <c r="B41" t="s">
        <v>186</v>
      </c>
      <c r="C41" t="s">
        <v>191</v>
      </c>
      <c r="D41" t="s">
        <v>198</v>
      </c>
      <c r="E41" t="str">
        <f>IF(StatusBranchGrade[[#This Row],[Status]] = "CYS", "DoD", StatusBranchGrade[[#This Row],[Rank]] &amp; "")</f>
        <v>DoD</v>
      </c>
      <c r="F41" t="s">
        <v>198</v>
      </c>
      <c r="G41" t="str">
        <f>IF(StatusBranchGrade[[#This Row],[Rank]] = StatusBranchGrade[[#This Row],[Grade]], StatusBranchGrade[[#This Row],[Rank]], StatusBranchGrade[[#This Row],[Grade]] &amp; "/" &amp; StatusBranchGrade[[#This Row],[Rank]]) &amp; ""</f>
        <v>Trainer</v>
      </c>
      <c r="H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SAC  /  Trainer</v>
      </c>
      <c r="I41" s="17" t="str">
        <f>SUBSTITUTE(SUBSTITUTE(SUBSTITUTE(StatusBranchGrade[[#This Row],[Status]] &amp; "  /  " &amp; StatusBranchGrade[[#This Row],[Branch]] &amp; ";", "  /  ;", ";"), "  /  ;", ";"), ";", "")</f>
        <v>CYS  /  SAC</v>
      </c>
      <c r="J41">
        <v>12</v>
      </c>
      <c r="K41" s="17" t="str">
        <f>IF(LEFT(StatusBranchGrade[[#This Row],[Which]], 1) = "1", StatusBranchGrade[[#This Row],[Key]], "")</f>
        <v>CYS  /  SAC  /  Trainer</v>
      </c>
      <c r="L41" s="17" t="str">
        <f>IF(LEFT(StatusBranchGrade[[#This Row],[Which]], 1) = "1", StatusBranchGrade[[#This Row],[Key0]], "")</f>
        <v>CYS  /  SAC</v>
      </c>
      <c r="M41" s="17" t="str">
        <f>IF(RIGHT(StatusBranchGrade[[#This Row],[Which]], 1) = "2", StatusBranchGrade[[#This Row],[Key]], "")</f>
        <v>CYS  /  SAC  /  Trainer</v>
      </c>
      <c r="N41" s="17" t="str">
        <f>IF(RIGHT(StatusBranchGrade[[#This Row],[Which]], 1) = "2", StatusBranchGrade[[#This Row],[Key0]], "")</f>
        <v>CYS  /  SAC</v>
      </c>
      <c r="O41" s="17" t="s">
        <v>186</v>
      </c>
      <c r="P41" s="55" t="s">
        <v>142</v>
      </c>
      <c r="Q41" s="63">
        <f>--ISNUMBER(IF(StatusBranchGrade[[#This Row],[Sponsor0]] = 'Calculation Worksheet'!$AV$6 &amp; "  /  " &amp; 'Calculation Worksheet'!$AV$7, 1, ""))</f>
        <v>0</v>
      </c>
      <c r="R41" s="63" t="str">
        <f>IF(StatusBranchGrade[[#This Row],[S1]] = 1, COUNTIF($Q$3:Q41, 1), "")</f>
        <v/>
      </c>
      <c r="S41" s="63" t="str">
        <f>IFERROR(INDEX(StatusBranchGrade[Rank/Grade], MATCH(ROWS($R$3:R41)-1, StatusBranchGrade[S2], 0)), "") &amp; ""</f>
        <v/>
      </c>
      <c r="T41" s="63">
        <f>--ISNUMBER(IF(StatusBranchGrade[[#This Row],[Spouse0]] = 'Calculation Worksheet'!$CG$6 &amp; "  /  " &amp; 'Calculation Worksheet'!$CG$7, 1, ""))</f>
        <v>0</v>
      </c>
      <c r="U41" s="63" t="str">
        <f>IF(StatusBranchGrade[[#This Row],[T1]] = 1, COUNTIF($T$3:T41, 1), "")</f>
        <v/>
      </c>
      <c r="V41" s="63" t="str">
        <f>IFERROR(INDEX(StatusBranchGrade[Rank/Grade], MATCH(ROWS($U$3:U41)-1, StatusBranchGrade[T2], 0)), "") &amp; ""</f>
        <v/>
      </c>
      <c r="W41" s="63"/>
    </row>
    <row r="42" spans="1:23" x14ac:dyDescent="0.25">
      <c r="A42">
        <v>3</v>
      </c>
      <c r="B42" t="s">
        <v>186</v>
      </c>
      <c r="C42" t="s">
        <v>192</v>
      </c>
      <c r="D42" t="s">
        <v>193</v>
      </c>
      <c r="E42" t="str">
        <f>IF(StatusBranchGrade[[#This Row],[Status]] = "CYS", "DoD", StatusBranchGrade[[#This Row],[Rank]] &amp; "")</f>
        <v>DoD</v>
      </c>
      <c r="F42" t="s">
        <v>193</v>
      </c>
      <c r="G42" t="str">
        <f>IF(StatusBranchGrade[[#This Row],[Rank]] = StatusBranchGrade[[#This Row],[Grade]], StatusBranchGrade[[#This Row],[Rank]], StatusBranchGrade[[#This Row],[Grade]] &amp; "/" &amp; StatusBranchGrade[[#This Row],[Rank]]) &amp; ""</f>
        <v>Admin</v>
      </c>
      <c r="H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Admin</v>
      </c>
      <c r="I42" s="17" t="str">
        <f>SUBSTITUTE(SUBSTITUTE(SUBSTITUTE(StatusBranchGrade[[#This Row],[Status]] &amp; "  /  " &amp; StatusBranchGrade[[#This Row],[Branch]] &amp; ";", "  /  ;", ";"), "  /  ;", ";"), ";", "")</f>
        <v>CYS  /  YS&amp;F</v>
      </c>
      <c r="J42">
        <v>12</v>
      </c>
      <c r="K42" s="17" t="str">
        <f>IF(LEFT(StatusBranchGrade[[#This Row],[Which]], 1) = "1", StatusBranchGrade[[#This Row],[Key]], "")</f>
        <v>CYS  /  YS&amp;F  /  Admin</v>
      </c>
      <c r="L42" s="17" t="str">
        <f>IF(LEFT(StatusBranchGrade[[#This Row],[Which]], 1) = "1", StatusBranchGrade[[#This Row],[Key0]], "")</f>
        <v>CYS  /  YS&amp;F</v>
      </c>
      <c r="M42" s="17" t="str">
        <f>IF(RIGHT(StatusBranchGrade[[#This Row],[Which]], 1) = "2", StatusBranchGrade[[#This Row],[Key]], "")</f>
        <v>CYS  /  YS&amp;F  /  Admin</v>
      </c>
      <c r="N42" s="17" t="str">
        <f>IF(RIGHT(StatusBranchGrade[[#This Row],[Which]], 1) = "2", StatusBranchGrade[[#This Row],[Key0]], "")</f>
        <v>CYS  /  YS&amp;F</v>
      </c>
      <c r="O42" s="17" t="s">
        <v>186</v>
      </c>
      <c r="P42" s="54" t="s">
        <v>142</v>
      </c>
      <c r="Q42" s="63">
        <f>--ISNUMBER(IF(StatusBranchGrade[[#This Row],[Sponsor0]] = 'Calculation Worksheet'!$AV$6 &amp; "  /  " &amp; 'Calculation Worksheet'!$AV$7, 1, ""))</f>
        <v>0</v>
      </c>
      <c r="R42" s="63" t="str">
        <f>IF(StatusBranchGrade[[#This Row],[S1]] = 1, COUNTIF($Q$3:Q42, 1), "")</f>
        <v/>
      </c>
      <c r="S42" s="63" t="str">
        <f>IFERROR(INDEX(StatusBranchGrade[Rank/Grade], MATCH(ROWS($R$3:R42)-1, StatusBranchGrade[S2], 0)), "") &amp; ""</f>
        <v/>
      </c>
      <c r="T42" s="63">
        <f>--ISNUMBER(IF(StatusBranchGrade[[#This Row],[Spouse0]] = 'Calculation Worksheet'!$CG$6 &amp; "  /  " &amp; 'Calculation Worksheet'!$CG$7, 1, ""))</f>
        <v>0</v>
      </c>
      <c r="U42" s="63" t="str">
        <f>IF(StatusBranchGrade[[#This Row],[T1]] = 1, COUNTIF($T$3:T42, 1), "")</f>
        <v/>
      </c>
      <c r="V42" s="63" t="str">
        <f>IFERROR(INDEX(StatusBranchGrade[Rank/Grade], MATCH(ROWS($U$3:U42)-1, StatusBranchGrade[T2], 0)), "") &amp; ""</f>
        <v/>
      </c>
      <c r="W42" s="63"/>
    </row>
    <row r="43" spans="1:23" x14ac:dyDescent="0.25">
      <c r="A43">
        <v>3</v>
      </c>
      <c r="B43" t="s">
        <v>186</v>
      </c>
      <c r="C43" t="s">
        <v>192</v>
      </c>
      <c r="D43" t="s">
        <v>194</v>
      </c>
      <c r="E43" t="str">
        <f>IF(StatusBranchGrade[[#This Row],[Status]] = "CYS", "DoD", StatusBranchGrade[[#This Row],[Rank]] &amp; "")</f>
        <v>DoD</v>
      </c>
      <c r="F43" t="s">
        <v>194</v>
      </c>
      <c r="G43" t="str">
        <f>IF(StatusBranchGrade[[#This Row],[Rank]] = StatusBranchGrade[[#This Row],[Grade]], StatusBranchGrade[[#This Row],[Rank]], StatusBranchGrade[[#This Row],[Grade]] &amp; "/" &amp; StatusBranchGrade[[#This Row],[Rank]]) &amp; ""</f>
        <v>Classroom</v>
      </c>
      <c r="H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Classroom</v>
      </c>
      <c r="I43" s="17" t="str">
        <f>SUBSTITUTE(SUBSTITUTE(SUBSTITUTE(StatusBranchGrade[[#This Row],[Status]] &amp; "  /  " &amp; StatusBranchGrade[[#This Row],[Branch]] &amp; ";", "  /  ;", ";"), "  /  ;", ";"), ";", "")</f>
        <v>CYS  /  YS&amp;F</v>
      </c>
      <c r="J43">
        <v>12</v>
      </c>
      <c r="K43" s="17" t="str">
        <f>IF(LEFT(StatusBranchGrade[[#This Row],[Which]], 1) = "1", StatusBranchGrade[[#This Row],[Key]], "")</f>
        <v>CYS  /  YS&amp;F  /  Classroom</v>
      </c>
      <c r="L43" s="17" t="str">
        <f>IF(LEFT(StatusBranchGrade[[#This Row],[Which]], 1) = "1", StatusBranchGrade[[#This Row],[Key0]], "")</f>
        <v>CYS  /  YS&amp;F</v>
      </c>
      <c r="M43" s="17" t="str">
        <f>IF(RIGHT(StatusBranchGrade[[#This Row],[Which]], 1) = "2", StatusBranchGrade[[#This Row],[Key]], "")</f>
        <v>CYS  /  YS&amp;F  /  Classroom</v>
      </c>
      <c r="N43" s="17" t="str">
        <f>IF(RIGHT(StatusBranchGrade[[#This Row],[Which]], 1) = "2", StatusBranchGrade[[#This Row],[Key0]], "")</f>
        <v>CYS  /  YS&amp;F</v>
      </c>
      <c r="O43" s="17" t="s">
        <v>186</v>
      </c>
      <c r="P43" s="54" t="s">
        <v>142</v>
      </c>
      <c r="Q43" s="63">
        <f>--ISNUMBER(IF(StatusBranchGrade[[#This Row],[Sponsor0]] = 'Calculation Worksheet'!$AV$6 &amp; "  /  " &amp; 'Calculation Worksheet'!$AV$7, 1, ""))</f>
        <v>0</v>
      </c>
      <c r="R43" s="63" t="str">
        <f>IF(StatusBranchGrade[[#This Row],[S1]] = 1, COUNTIF($Q$3:Q43, 1), "")</f>
        <v/>
      </c>
      <c r="S43" s="63" t="str">
        <f>IFERROR(INDEX(StatusBranchGrade[Rank/Grade], MATCH(ROWS($R$3:R43)-1, StatusBranchGrade[S2], 0)), "") &amp; ""</f>
        <v/>
      </c>
      <c r="T43" s="63">
        <f>--ISNUMBER(IF(StatusBranchGrade[[#This Row],[Spouse0]] = 'Calculation Worksheet'!$CG$6 &amp; "  /  " &amp; 'Calculation Worksheet'!$CG$7, 1, ""))</f>
        <v>0</v>
      </c>
      <c r="U43" s="63" t="str">
        <f>IF(StatusBranchGrade[[#This Row],[T1]] = 1, COUNTIF($T$3:T43, 1), "")</f>
        <v/>
      </c>
      <c r="V43" s="63" t="str">
        <f>IFERROR(INDEX(StatusBranchGrade[Rank/Grade], MATCH(ROWS($U$3:U43)-1, StatusBranchGrade[T2], 0)), "") &amp; ""</f>
        <v/>
      </c>
      <c r="W43" s="63"/>
    </row>
    <row r="44" spans="1:23" x14ac:dyDescent="0.25">
      <c r="A44">
        <v>3</v>
      </c>
      <c r="B44" t="s">
        <v>186</v>
      </c>
      <c r="C44" t="s">
        <v>192</v>
      </c>
      <c r="D44" t="s">
        <v>195</v>
      </c>
      <c r="E44" t="str">
        <f>IF(StatusBranchGrade[[#This Row],[Status]] = "CYS", "DoD", StatusBranchGrade[[#This Row],[Rank]] &amp; "")</f>
        <v>DoD</v>
      </c>
      <c r="F44" t="s">
        <v>195</v>
      </c>
      <c r="G44" t="str">
        <f>IF(StatusBranchGrade[[#This Row],[Rank]] = StatusBranchGrade[[#This Row],[Grade]], StatusBranchGrade[[#This Row],[Rank]], StatusBranchGrade[[#This Row],[Grade]] &amp; "/" &amp; StatusBranchGrade[[#This Row],[Rank]]) &amp; ""</f>
        <v>Food</v>
      </c>
      <c r="H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Food</v>
      </c>
      <c r="I44" s="17" t="str">
        <f>SUBSTITUTE(SUBSTITUTE(SUBSTITUTE(StatusBranchGrade[[#This Row],[Status]] &amp; "  /  " &amp; StatusBranchGrade[[#This Row],[Branch]] &amp; ";", "  /  ;", ";"), "  /  ;", ";"), ";", "")</f>
        <v>CYS  /  YS&amp;F</v>
      </c>
      <c r="J44">
        <v>12</v>
      </c>
      <c r="K44" s="17" t="str">
        <f>IF(LEFT(StatusBranchGrade[[#This Row],[Which]], 1) = "1", StatusBranchGrade[[#This Row],[Key]], "")</f>
        <v>CYS  /  YS&amp;F  /  Food</v>
      </c>
      <c r="L44" s="17" t="str">
        <f>IF(LEFT(StatusBranchGrade[[#This Row],[Which]], 1) = "1", StatusBranchGrade[[#This Row],[Key0]], "")</f>
        <v>CYS  /  YS&amp;F</v>
      </c>
      <c r="M44" s="17" t="str">
        <f>IF(RIGHT(StatusBranchGrade[[#This Row],[Which]], 1) = "2", StatusBranchGrade[[#This Row],[Key]], "")</f>
        <v>CYS  /  YS&amp;F  /  Food</v>
      </c>
      <c r="N44" s="17" t="str">
        <f>IF(RIGHT(StatusBranchGrade[[#This Row],[Which]], 1) = "2", StatusBranchGrade[[#This Row],[Key0]], "")</f>
        <v>CYS  /  YS&amp;F</v>
      </c>
      <c r="O44" s="17" t="s">
        <v>186</v>
      </c>
      <c r="P44" s="54" t="s">
        <v>142</v>
      </c>
      <c r="Q44" s="63">
        <f>--ISNUMBER(IF(StatusBranchGrade[[#This Row],[Sponsor0]] = 'Calculation Worksheet'!$AV$6 &amp; "  /  " &amp; 'Calculation Worksheet'!$AV$7, 1, ""))</f>
        <v>0</v>
      </c>
      <c r="R44" s="63" t="str">
        <f>IF(StatusBranchGrade[[#This Row],[S1]] = 1, COUNTIF($Q$3:Q44, 1), "")</f>
        <v/>
      </c>
      <c r="S44" s="63" t="str">
        <f>IFERROR(INDEX(StatusBranchGrade[Rank/Grade], MATCH(ROWS($R$3:R44)-1, StatusBranchGrade[S2], 0)), "") &amp; ""</f>
        <v/>
      </c>
      <c r="T44" s="63">
        <f>--ISNUMBER(IF(StatusBranchGrade[[#This Row],[Spouse0]] = 'Calculation Worksheet'!$CG$6 &amp; "  /  " &amp; 'Calculation Worksheet'!$CG$7, 1, ""))</f>
        <v>0</v>
      </c>
      <c r="U44" s="63" t="str">
        <f>IF(StatusBranchGrade[[#This Row],[T1]] = 1, COUNTIF($T$3:T44, 1), "")</f>
        <v/>
      </c>
      <c r="V44" s="63" t="str">
        <f>IFERROR(INDEX(StatusBranchGrade[Rank/Grade], MATCH(ROWS($U$3:U44)-1, StatusBranchGrade[T2], 0)), "") &amp; ""</f>
        <v/>
      </c>
      <c r="W44" s="63"/>
    </row>
    <row r="45" spans="1:23" x14ac:dyDescent="0.25">
      <c r="A45">
        <v>3</v>
      </c>
      <c r="B45" t="s">
        <v>186</v>
      </c>
      <c r="C45" t="s">
        <v>192</v>
      </c>
      <c r="D45" t="s">
        <v>196</v>
      </c>
      <c r="E45" t="str">
        <f>IF(StatusBranchGrade[[#This Row],[Status]] = "CYS", "DoD", StatusBranchGrade[[#This Row],[Rank]] &amp; "")</f>
        <v>DoD</v>
      </c>
      <c r="F45" t="s">
        <v>196</v>
      </c>
      <c r="G45" t="str">
        <f>IF(StatusBranchGrade[[#This Row],[Rank]] = StatusBranchGrade[[#This Row],[Grade]], StatusBranchGrade[[#This Row],[Rank]], StatusBranchGrade[[#This Row],[Grade]] &amp; "/" &amp; StatusBranchGrade[[#This Row],[Rank]]) &amp; ""</f>
        <v>Mgmt</v>
      </c>
      <c r="H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Mgmt</v>
      </c>
      <c r="I45" s="17" t="str">
        <f>SUBSTITUTE(SUBSTITUTE(SUBSTITUTE(StatusBranchGrade[[#This Row],[Status]] &amp; "  /  " &amp; StatusBranchGrade[[#This Row],[Branch]] &amp; ";", "  /  ;", ";"), "  /  ;", ";"), ";", "")</f>
        <v>CYS  /  YS&amp;F</v>
      </c>
      <c r="J45">
        <v>12</v>
      </c>
      <c r="K45" s="17" t="str">
        <f>IF(LEFT(StatusBranchGrade[[#This Row],[Which]], 1) = "1", StatusBranchGrade[[#This Row],[Key]], "")</f>
        <v>CYS  /  YS&amp;F  /  Mgmt</v>
      </c>
      <c r="L45" s="17" t="str">
        <f>IF(LEFT(StatusBranchGrade[[#This Row],[Which]], 1) = "1", StatusBranchGrade[[#This Row],[Key0]], "")</f>
        <v>CYS  /  YS&amp;F</v>
      </c>
      <c r="M45" s="17" t="str">
        <f>IF(RIGHT(StatusBranchGrade[[#This Row],[Which]], 1) = "2", StatusBranchGrade[[#This Row],[Key]], "")</f>
        <v>CYS  /  YS&amp;F  /  Mgmt</v>
      </c>
      <c r="N45" s="17" t="str">
        <f>IF(RIGHT(StatusBranchGrade[[#This Row],[Which]], 1) = "2", StatusBranchGrade[[#This Row],[Key0]], "")</f>
        <v>CYS  /  YS&amp;F</v>
      </c>
      <c r="O45" s="17" t="s">
        <v>186</v>
      </c>
      <c r="P45" s="54" t="s">
        <v>142</v>
      </c>
      <c r="Q45" s="63">
        <f>--ISNUMBER(IF(StatusBranchGrade[[#This Row],[Sponsor0]] = 'Calculation Worksheet'!$AV$6 &amp; "  /  " &amp; 'Calculation Worksheet'!$AV$7, 1, ""))</f>
        <v>0</v>
      </c>
      <c r="R45" s="63" t="str">
        <f>IF(StatusBranchGrade[[#This Row],[S1]] = 1, COUNTIF($Q$3:Q45, 1), "")</f>
        <v/>
      </c>
      <c r="S45" s="63" t="str">
        <f>IFERROR(INDEX(StatusBranchGrade[Rank/Grade], MATCH(ROWS($R$3:R45)-1, StatusBranchGrade[S2], 0)), "") &amp; ""</f>
        <v/>
      </c>
      <c r="T45" s="63">
        <f>--ISNUMBER(IF(StatusBranchGrade[[#This Row],[Spouse0]] = 'Calculation Worksheet'!$CG$6 &amp; "  /  " &amp; 'Calculation Worksheet'!$CG$7, 1, ""))</f>
        <v>0</v>
      </c>
      <c r="U45" s="63" t="str">
        <f>IF(StatusBranchGrade[[#This Row],[T1]] = 1, COUNTIF($T$3:T45, 1), "")</f>
        <v/>
      </c>
      <c r="V45" s="63" t="str">
        <f>IFERROR(INDEX(StatusBranchGrade[Rank/Grade], MATCH(ROWS($U$3:U45)-1, StatusBranchGrade[T2], 0)), "") &amp; ""</f>
        <v/>
      </c>
      <c r="W45" s="63"/>
    </row>
    <row r="46" spans="1:23" x14ac:dyDescent="0.25">
      <c r="A46">
        <v>3</v>
      </c>
      <c r="B46" t="s">
        <v>186</v>
      </c>
      <c r="C46" t="s">
        <v>192</v>
      </c>
      <c r="D46" t="s">
        <v>197</v>
      </c>
      <c r="E46" t="str">
        <f>IF(StatusBranchGrade[[#This Row],[Status]] = "CYS", "DoD", StatusBranchGrade[[#This Row],[Rank]] &amp; "")</f>
        <v>DoD</v>
      </c>
      <c r="F46" t="s">
        <v>197</v>
      </c>
      <c r="G46" t="str">
        <f>IF(StatusBranchGrade[[#This Row],[Rank]] = StatusBranchGrade[[#This Row],[Grade]], StatusBranchGrade[[#This Row],[Rank]], StatusBranchGrade[[#This Row],[Grade]] &amp; "/" &amp; StatusBranchGrade[[#This Row],[Rank]]) &amp; ""</f>
        <v>Support</v>
      </c>
      <c r="H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Support</v>
      </c>
      <c r="I46" s="17" t="str">
        <f>SUBSTITUTE(SUBSTITUTE(SUBSTITUTE(StatusBranchGrade[[#This Row],[Status]] &amp; "  /  " &amp; StatusBranchGrade[[#This Row],[Branch]] &amp; ";", "  /  ;", ";"), "  /  ;", ";"), ";", "")</f>
        <v>CYS  /  YS&amp;F</v>
      </c>
      <c r="J46">
        <v>12</v>
      </c>
      <c r="K46" s="17" t="str">
        <f>IF(LEFT(StatusBranchGrade[[#This Row],[Which]], 1) = "1", StatusBranchGrade[[#This Row],[Key]], "")</f>
        <v>CYS  /  YS&amp;F  /  Support</v>
      </c>
      <c r="L46" s="17" t="str">
        <f>IF(LEFT(StatusBranchGrade[[#This Row],[Which]], 1) = "1", StatusBranchGrade[[#This Row],[Key0]], "")</f>
        <v>CYS  /  YS&amp;F</v>
      </c>
      <c r="M46" s="17" t="str">
        <f>IF(RIGHT(StatusBranchGrade[[#This Row],[Which]], 1) = "2", StatusBranchGrade[[#This Row],[Key]], "")</f>
        <v>CYS  /  YS&amp;F  /  Support</v>
      </c>
      <c r="N46" s="17" t="str">
        <f>IF(RIGHT(StatusBranchGrade[[#This Row],[Which]], 1) = "2", StatusBranchGrade[[#This Row],[Key0]], "")</f>
        <v>CYS  /  YS&amp;F</v>
      </c>
      <c r="O46" s="17" t="s">
        <v>186</v>
      </c>
      <c r="P46" s="54" t="s">
        <v>142</v>
      </c>
      <c r="Q46" s="63">
        <f>--ISNUMBER(IF(StatusBranchGrade[[#This Row],[Sponsor0]] = 'Calculation Worksheet'!$AV$6 &amp; "  /  " &amp; 'Calculation Worksheet'!$AV$7, 1, ""))</f>
        <v>0</v>
      </c>
      <c r="R46" s="63" t="str">
        <f>IF(StatusBranchGrade[[#This Row],[S1]] = 1, COUNTIF($Q$3:Q46, 1), "")</f>
        <v/>
      </c>
      <c r="S46" s="63" t="str">
        <f>IFERROR(INDEX(StatusBranchGrade[Rank/Grade], MATCH(ROWS($R$3:R46)-1, StatusBranchGrade[S2], 0)), "") &amp; ""</f>
        <v/>
      </c>
      <c r="T46" s="63">
        <f>--ISNUMBER(IF(StatusBranchGrade[[#This Row],[Spouse0]] = 'Calculation Worksheet'!$CG$6 &amp; "  /  " &amp; 'Calculation Worksheet'!$CG$7, 1, ""))</f>
        <v>0</v>
      </c>
      <c r="U46" s="63" t="str">
        <f>IF(StatusBranchGrade[[#This Row],[T1]] = 1, COUNTIF($T$3:T46, 1), "")</f>
        <v/>
      </c>
      <c r="V46" s="63" t="str">
        <f>IFERROR(INDEX(StatusBranchGrade[Rank/Grade], MATCH(ROWS($U$3:U46)-1, StatusBranchGrade[T2], 0)), "") &amp; ""</f>
        <v/>
      </c>
      <c r="W46" s="63"/>
    </row>
    <row r="47" spans="1:23" x14ac:dyDescent="0.25">
      <c r="A47">
        <v>3</v>
      </c>
      <c r="B47" t="s">
        <v>186</v>
      </c>
      <c r="C47" t="s">
        <v>192</v>
      </c>
      <c r="D47" t="s">
        <v>198</v>
      </c>
      <c r="E47" t="str">
        <f>IF(StatusBranchGrade[[#This Row],[Status]] = "CYS", "DoD", StatusBranchGrade[[#This Row],[Rank]] &amp; "")</f>
        <v>DoD</v>
      </c>
      <c r="F47" t="s">
        <v>198</v>
      </c>
      <c r="G47" t="str">
        <f>IF(StatusBranchGrade[[#This Row],[Rank]] = StatusBranchGrade[[#This Row],[Grade]], StatusBranchGrade[[#This Row],[Rank]], StatusBranchGrade[[#This Row],[Grade]] &amp; "/" &amp; StatusBranchGrade[[#This Row],[Rank]]) &amp; ""</f>
        <v>Trainer</v>
      </c>
      <c r="H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CYS  /  YS&amp;F  /  Trainer</v>
      </c>
      <c r="I47" s="17" t="str">
        <f>SUBSTITUTE(SUBSTITUTE(SUBSTITUTE(StatusBranchGrade[[#This Row],[Status]] &amp; "  /  " &amp; StatusBranchGrade[[#This Row],[Branch]] &amp; ";", "  /  ;", ";"), "  /  ;", ";"), ";", "")</f>
        <v>CYS  /  YS&amp;F</v>
      </c>
      <c r="J47">
        <v>12</v>
      </c>
      <c r="K47" s="17" t="str">
        <f>IF(LEFT(StatusBranchGrade[[#This Row],[Which]], 1) = "1", StatusBranchGrade[[#This Row],[Key]], "")</f>
        <v>CYS  /  YS&amp;F  /  Trainer</v>
      </c>
      <c r="L47" s="17" t="str">
        <f>IF(LEFT(StatusBranchGrade[[#This Row],[Which]], 1) = "1", StatusBranchGrade[[#This Row],[Key0]], "")</f>
        <v>CYS  /  YS&amp;F</v>
      </c>
      <c r="M47" s="17" t="str">
        <f>IF(RIGHT(StatusBranchGrade[[#This Row],[Which]], 1) = "2", StatusBranchGrade[[#This Row],[Key]], "")</f>
        <v>CYS  /  YS&amp;F  /  Trainer</v>
      </c>
      <c r="N47" s="17" t="str">
        <f>IF(RIGHT(StatusBranchGrade[[#This Row],[Which]], 1) = "2", StatusBranchGrade[[#This Row],[Key0]], "")</f>
        <v>CYS  /  YS&amp;F</v>
      </c>
      <c r="O47" s="17" t="s">
        <v>186</v>
      </c>
      <c r="P47" s="54" t="s">
        <v>142</v>
      </c>
      <c r="Q47" s="63">
        <f>--ISNUMBER(IF(StatusBranchGrade[[#This Row],[Sponsor0]] = 'Calculation Worksheet'!$AV$6 &amp; "  /  " &amp; 'Calculation Worksheet'!$AV$7, 1, ""))</f>
        <v>0</v>
      </c>
      <c r="R47" s="63" t="str">
        <f>IF(StatusBranchGrade[[#This Row],[S1]] = 1, COUNTIF($Q$3:Q47, 1), "")</f>
        <v/>
      </c>
      <c r="S47" s="63" t="str">
        <f>IFERROR(INDEX(StatusBranchGrade[Rank/Grade], MATCH(ROWS($R$3:R47)-1, StatusBranchGrade[S2], 0)), "") &amp; ""</f>
        <v/>
      </c>
      <c r="T47" s="63">
        <f>--ISNUMBER(IF(StatusBranchGrade[[#This Row],[Spouse0]] = 'Calculation Worksheet'!$CG$6 &amp; "  /  " &amp; 'Calculation Worksheet'!$CG$7, 1, ""))</f>
        <v>0</v>
      </c>
      <c r="U47" s="63" t="str">
        <f>IF(StatusBranchGrade[[#This Row],[T1]] = 1, COUNTIF($T$3:T47, 1), "")</f>
        <v/>
      </c>
      <c r="V47" s="63" t="str">
        <f>IFERROR(INDEX(StatusBranchGrade[Rank/Grade], MATCH(ROWS($U$3:U47)-1, StatusBranchGrade[T2], 0)), "") &amp; ""</f>
        <v/>
      </c>
      <c r="W47" s="63"/>
    </row>
    <row r="48" spans="1:23" x14ac:dyDescent="0.25">
      <c r="A48">
        <v>4</v>
      </c>
      <c r="B48" t="s">
        <v>339</v>
      </c>
      <c r="C48" t="s">
        <v>183</v>
      </c>
      <c r="D48" t="s">
        <v>105</v>
      </c>
      <c r="E48" t="str">
        <f>IF(StatusBranchGrade[[#This Row],[Status]] = "CYS", "DoD", StatusBranchGrade[[#This Row],[Rank]] &amp; "")</f>
        <v>E-1</v>
      </c>
      <c r="F48" t="s">
        <v>105</v>
      </c>
      <c r="G48" t="str">
        <f>IF(StatusBranchGrade[[#This Row],[Rank]] = StatusBranchGrade[[#This Row],[Grade]], StatusBranchGrade[[#This Row],[Rank]], StatusBranchGrade[[#This Row],[Grade]] &amp; "/" &amp; StatusBranchGrade[[#This Row],[Rank]]) &amp; ""</f>
        <v>E-1</v>
      </c>
      <c r="H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E-1</v>
      </c>
      <c r="I48" s="17" t="str">
        <f>SUBSTITUTE(SUBSTITUTE(SUBSTITUTE(StatusBranchGrade[[#This Row],[Status]] &amp; "  /  " &amp; StatusBranchGrade[[#This Row],[Branch]] &amp; ";", "  /  ;", ";"), "  /  ;", ";"), ";", "")</f>
        <v>Wounded Warrior--GC-approved  /  Air Force</v>
      </c>
      <c r="J48">
        <v>12</v>
      </c>
      <c r="K48" s="17" t="str">
        <f>IF(LEFT(StatusBranchGrade[[#This Row],[Which]], 1) = "1", StatusBranchGrade[[#This Row],[Key]], "")</f>
        <v>Wounded Warrior--GC-approved  /  Air Force  /  E-1</v>
      </c>
      <c r="L48" s="17" t="str">
        <f>IF(LEFT(StatusBranchGrade[[#This Row],[Which]], 1) = "1", StatusBranchGrade[[#This Row],[Key0]], "")</f>
        <v>Wounded Warrior--GC-approved  /  Air Force</v>
      </c>
      <c r="M48" s="17" t="str">
        <f>IF(RIGHT(StatusBranchGrade[[#This Row],[Which]], 1) = "2", StatusBranchGrade[[#This Row],[Key]], "")</f>
        <v>Wounded Warrior--GC-approved  /  Air Force  /  E-1</v>
      </c>
      <c r="N48" s="17" t="str">
        <f>IF(RIGHT(StatusBranchGrade[[#This Row],[Which]], 1) = "2", StatusBranchGrade[[#This Row],[Key0]], "")</f>
        <v>Wounded Warrior--GC-approved  /  Air Force</v>
      </c>
      <c r="O48" s="17" t="s">
        <v>299</v>
      </c>
      <c r="P48" s="17"/>
      <c r="Q48" s="63">
        <f>--ISNUMBER(IF(StatusBranchGrade[[#This Row],[Sponsor0]] = 'Calculation Worksheet'!$AV$6 &amp; "  /  " &amp; 'Calculation Worksheet'!$AV$7, 1, ""))</f>
        <v>0</v>
      </c>
      <c r="R48" s="63" t="str">
        <f>IF(StatusBranchGrade[[#This Row],[S1]] = 1, COUNTIF($Q$3:Q48, 1), "")</f>
        <v/>
      </c>
      <c r="S48" s="63" t="str">
        <f>IFERROR(INDEX(StatusBranchGrade[Rank/Grade], MATCH(ROWS($R$3:R48)-1, StatusBranchGrade[S2], 0)), "") &amp; ""</f>
        <v/>
      </c>
      <c r="T48" s="63">
        <f>--ISNUMBER(IF(StatusBranchGrade[[#This Row],[Spouse0]] = 'Calculation Worksheet'!$CG$6 &amp; "  /  " &amp; 'Calculation Worksheet'!$CG$7, 1, ""))</f>
        <v>0</v>
      </c>
      <c r="U48" s="63" t="str">
        <f>IF(StatusBranchGrade[[#This Row],[T1]] = 1, COUNTIF($T$3:T48, 1), "")</f>
        <v/>
      </c>
      <c r="V48" s="63" t="str">
        <f>IFERROR(INDEX(StatusBranchGrade[Rank/Grade], MATCH(ROWS($U$3:U48)-1, StatusBranchGrade[T2], 0)), "") &amp; ""</f>
        <v/>
      </c>
      <c r="W48" s="63"/>
    </row>
    <row r="49" spans="1:23" x14ac:dyDescent="0.25">
      <c r="A49">
        <v>4</v>
      </c>
      <c r="B49" t="s">
        <v>339</v>
      </c>
      <c r="C49" t="s">
        <v>183</v>
      </c>
      <c r="D49" t="s">
        <v>104</v>
      </c>
      <c r="E49" t="str">
        <f>IF(StatusBranchGrade[[#This Row],[Status]] = "CYS", "DoD", StatusBranchGrade[[#This Row],[Rank]] &amp; "")</f>
        <v>E-2</v>
      </c>
      <c r="F49" t="s">
        <v>104</v>
      </c>
      <c r="G49" t="str">
        <f>IF(StatusBranchGrade[[#This Row],[Rank]] = StatusBranchGrade[[#This Row],[Grade]], StatusBranchGrade[[#This Row],[Rank]], StatusBranchGrade[[#This Row],[Grade]] &amp; "/" &amp; StatusBranchGrade[[#This Row],[Rank]]) &amp; ""</f>
        <v>E-2</v>
      </c>
      <c r="H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E-2</v>
      </c>
      <c r="I49" s="17" t="str">
        <f>SUBSTITUTE(SUBSTITUTE(SUBSTITUTE(StatusBranchGrade[[#This Row],[Status]] &amp; "  /  " &amp; StatusBranchGrade[[#This Row],[Branch]] &amp; ";", "  /  ;", ";"), "  /  ;", ";"), ";", "")</f>
        <v>Wounded Warrior--GC-approved  /  Air Force</v>
      </c>
      <c r="J49">
        <v>12</v>
      </c>
      <c r="K49" s="17" t="str">
        <f>IF(LEFT(StatusBranchGrade[[#This Row],[Which]], 1) = "1", StatusBranchGrade[[#This Row],[Key]], "")</f>
        <v>Wounded Warrior--GC-approved  /  Air Force  /  E-2</v>
      </c>
      <c r="L49" s="17" t="str">
        <f>IF(LEFT(StatusBranchGrade[[#This Row],[Which]], 1) = "1", StatusBranchGrade[[#This Row],[Key0]], "")</f>
        <v>Wounded Warrior--GC-approved  /  Air Force</v>
      </c>
      <c r="M49" s="17" t="str">
        <f>IF(RIGHT(StatusBranchGrade[[#This Row],[Which]], 1) = "2", StatusBranchGrade[[#This Row],[Key]], "")</f>
        <v>Wounded Warrior--GC-approved  /  Air Force  /  E-2</v>
      </c>
      <c r="N49" s="17" t="str">
        <f>IF(RIGHT(StatusBranchGrade[[#This Row],[Which]], 1) = "2", StatusBranchGrade[[#This Row],[Key0]], "")</f>
        <v>Wounded Warrior--GC-approved  /  Air Force</v>
      </c>
      <c r="O49" s="17" t="s">
        <v>299</v>
      </c>
      <c r="P49" s="17"/>
      <c r="Q49" s="63">
        <f>--ISNUMBER(IF(StatusBranchGrade[[#This Row],[Sponsor0]] = 'Calculation Worksheet'!$AV$6 &amp; "  /  " &amp; 'Calculation Worksheet'!$AV$7, 1, ""))</f>
        <v>0</v>
      </c>
      <c r="R49" s="63" t="str">
        <f>IF(StatusBranchGrade[[#This Row],[S1]] = 1, COUNTIF($Q$3:Q49, 1), "")</f>
        <v/>
      </c>
      <c r="S49" s="63" t="str">
        <f>IFERROR(INDEX(StatusBranchGrade[Rank/Grade], MATCH(ROWS($R$3:R49)-1, StatusBranchGrade[S2], 0)), "") &amp; ""</f>
        <v/>
      </c>
      <c r="T49" s="63">
        <f>--ISNUMBER(IF(StatusBranchGrade[[#This Row],[Spouse0]] = 'Calculation Worksheet'!$CG$6 &amp; "  /  " &amp; 'Calculation Worksheet'!$CG$7, 1, ""))</f>
        <v>0</v>
      </c>
      <c r="U49" s="63" t="str">
        <f>IF(StatusBranchGrade[[#This Row],[T1]] = 1, COUNTIF($T$3:T49, 1), "")</f>
        <v/>
      </c>
      <c r="V49" s="63" t="str">
        <f>IFERROR(INDEX(StatusBranchGrade[Rank/Grade], MATCH(ROWS($U$3:U49)-1, StatusBranchGrade[T2], 0)), "") &amp; ""</f>
        <v/>
      </c>
      <c r="W49" s="63" t="s">
        <v>212</v>
      </c>
    </row>
    <row r="50" spans="1:23" x14ac:dyDescent="0.25">
      <c r="A50">
        <v>4</v>
      </c>
      <c r="B50" t="s">
        <v>339</v>
      </c>
      <c r="C50" t="s">
        <v>183</v>
      </c>
      <c r="D50" t="s">
        <v>103</v>
      </c>
      <c r="E50" t="str">
        <f>IF(StatusBranchGrade[[#This Row],[Status]] = "CYS", "DoD", StatusBranchGrade[[#This Row],[Rank]] &amp; "")</f>
        <v>E-3</v>
      </c>
      <c r="F50" t="s">
        <v>103</v>
      </c>
      <c r="G50" t="str">
        <f>IF(StatusBranchGrade[[#This Row],[Rank]] = StatusBranchGrade[[#This Row],[Grade]], StatusBranchGrade[[#This Row],[Rank]], StatusBranchGrade[[#This Row],[Grade]] &amp; "/" &amp; StatusBranchGrade[[#This Row],[Rank]]) &amp; ""</f>
        <v>E-3</v>
      </c>
      <c r="H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E-3</v>
      </c>
      <c r="I50" s="17" t="str">
        <f>SUBSTITUTE(SUBSTITUTE(SUBSTITUTE(StatusBranchGrade[[#This Row],[Status]] &amp; "  /  " &amp; StatusBranchGrade[[#This Row],[Branch]] &amp; ";", "  /  ;", ";"), "  /  ;", ";"), ";", "")</f>
        <v>Wounded Warrior--GC-approved  /  Air Force</v>
      </c>
      <c r="J50">
        <v>12</v>
      </c>
      <c r="K50" s="17" t="str">
        <f>IF(LEFT(StatusBranchGrade[[#This Row],[Which]], 1) = "1", StatusBranchGrade[[#This Row],[Key]], "")</f>
        <v>Wounded Warrior--GC-approved  /  Air Force  /  E-3</v>
      </c>
      <c r="L50" s="17" t="str">
        <f>IF(LEFT(StatusBranchGrade[[#This Row],[Which]], 1) = "1", StatusBranchGrade[[#This Row],[Key0]], "")</f>
        <v>Wounded Warrior--GC-approved  /  Air Force</v>
      </c>
      <c r="M50" s="17" t="str">
        <f>IF(RIGHT(StatusBranchGrade[[#This Row],[Which]], 1) = "2", StatusBranchGrade[[#This Row],[Key]], "")</f>
        <v>Wounded Warrior--GC-approved  /  Air Force  /  E-3</v>
      </c>
      <c r="N50" s="17" t="str">
        <f>IF(RIGHT(StatusBranchGrade[[#This Row],[Which]], 1) = "2", StatusBranchGrade[[#This Row],[Key0]], "")</f>
        <v>Wounded Warrior--GC-approved  /  Air Force</v>
      </c>
      <c r="O50" s="17" t="s">
        <v>299</v>
      </c>
      <c r="P50" s="17"/>
      <c r="Q50" s="63">
        <f>--ISNUMBER(IF(StatusBranchGrade[[#This Row],[Sponsor0]] = 'Calculation Worksheet'!$AV$6 &amp; "  /  " &amp; 'Calculation Worksheet'!$AV$7, 1, ""))</f>
        <v>0</v>
      </c>
      <c r="R50" s="63" t="str">
        <f>IF(StatusBranchGrade[[#This Row],[S1]] = 1, COUNTIF($Q$3:Q50, 1), "")</f>
        <v/>
      </c>
      <c r="S50" s="63" t="str">
        <f>IFERROR(INDEX(StatusBranchGrade[Rank/Grade], MATCH(ROWS($R$3:R50)-1, StatusBranchGrade[S2], 0)), "") &amp; ""</f>
        <v/>
      </c>
      <c r="T50" s="63">
        <f>--ISNUMBER(IF(StatusBranchGrade[[#This Row],[Spouse0]] = 'Calculation Worksheet'!$CG$6 &amp; "  /  " &amp; 'Calculation Worksheet'!$CG$7, 1, ""))</f>
        <v>0</v>
      </c>
      <c r="U50" s="63" t="str">
        <f>IF(StatusBranchGrade[[#This Row],[T1]] = 1, COUNTIF($T$3:T50, 1), "")</f>
        <v/>
      </c>
      <c r="V50" s="63" t="str">
        <f>IFERROR(INDEX(StatusBranchGrade[Rank/Grade], MATCH(ROWS($U$3:U50)-1, StatusBranchGrade[T2], 0)), "") &amp; ""</f>
        <v/>
      </c>
      <c r="W50" s="63" t="s">
        <v>211</v>
      </c>
    </row>
    <row r="51" spans="1:23" x14ac:dyDescent="0.25">
      <c r="A51">
        <v>4</v>
      </c>
      <c r="B51" t="s">
        <v>339</v>
      </c>
      <c r="C51" t="s">
        <v>183</v>
      </c>
      <c r="D51" t="s">
        <v>102</v>
      </c>
      <c r="E51" t="str">
        <f>IF(StatusBranchGrade[[#This Row],[Status]] = "CYS", "DoD", StatusBranchGrade[[#This Row],[Rank]] &amp; "")</f>
        <v>E-4</v>
      </c>
      <c r="F51" t="s">
        <v>102</v>
      </c>
      <c r="G51" t="str">
        <f>IF(StatusBranchGrade[[#This Row],[Rank]] = StatusBranchGrade[[#This Row],[Grade]], StatusBranchGrade[[#This Row],[Rank]], StatusBranchGrade[[#This Row],[Grade]] &amp; "/" &amp; StatusBranchGrade[[#This Row],[Rank]]) &amp; ""</f>
        <v>E-4</v>
      </c>
      <c r="H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E-4</v>
      </c>
      <c r="I51" s="17" t="str">
        <f>SUBSTITUTE(SUBSTITUTE(SUBSTITUTE(StatusBranchGrade[[#This Row],[Status]] &amp; "  /  " &amp; StatusBranchGrade[[#This Row],[Branch]] &amp; ";", "  /  ;", ";"), "  /  ;", ";"), ";", "")</f>
        <v>Wounded Warrior--GC-approved  /  Air Force</v>
      </c>
      <c r="J51">
        <v>12</v>
      </c>
      <c r="K51" s="17" t="str">
        <f>IF(LEFT(StatusBranchGrade[[#This Row],[Which]], 1) = "1", StatusBranchGrade[[#This Row],[Key]], "")</f>
        <v>Wounded Warrior--GC-approved  /  Air Force  /  E-4</v>
      </c>
      <c r="L51" s="17" t="str">
        <f>IF(LEFT(StatusBranchGrade[[#This Row],[Which]], 1) = "1", StatusBranchGrade[[#This Row],[Key0]], "")</f>
        <v>Wounded Warrior--GC-approved  /  Air Force</v>
      </c>
      <c r="M51" s="17" t="str">
        <f>IF(RIGHT(StatusBranchGrade[[#This Row],[Which]], 1) = "2", StatusBranchGrade[[#This Row],[Key]], "")</f>
        <v>Wounded Warrior--GC-approved  /  Air Force  /  E-4</v>
      </c>
      <c r="N51" s="17" t="str">
        <f>IF(RIGHT(StatusBranchGrade[[#This Row],[Which]], 1) = "2", StatusBranchGrade[[#This Row],[Key0]], "")</f>
        <v>Wounded Warrior--GC-approved  /  Air Force</v>
      </c>
      <c r="O51" s="17" t="s">
        <v>299</v>
      </c>
      <c r="P51" s="17"/>
      <c r="Q51" s="63">
        <f>--ISNUMBER(IF(StatusBranchGrade[[#This Row],[Sponsor0]] = 'Calculation Worksheet'!$AV$6 &amp; "  /  " &amp; 'Calculation Worksheet'!$AV$7, 1, ""))</f>
        <v>0</v>
      </c>
      <c r="R51" s="63" t="str">
        <f>IF(StatusBranchGrade[[#This Row],[S1]] = 1, COUNTIF($Q$3:Q51, 1), "")</f>
        <v/>
      </c>
      <c r="S51" s="63" t="str">
        <f>IFERROR(INDEX(StatusBranchGrade[Rank/Grade], MATCH(ROWS($R$3:R51)-1, StatusBranchGrade[S2], 0)), "") &amp; ""</f>
        <v/>
      </c>
      <c r="T51" s="63">
        <f>--ISNUMBER(IF(StatusBranchGrade[[#This Row],[Spouse0]] = 'Calculation Worksheet'!$CG$6 &amp; "  /  " &amp; 'Calculation Worksheet'!$CG$7, 1, ""))</f>
        <v>0</v>
      </c>
      <c r="U51" s="63" t="str">
        <f>IF(StatusBranchGrade[[#This Row],[T1]] = 1, COUNTIF($T$3:T51, 1), "")</f>
        <v/>
      </c>
      <c r="V51" s="63" t="str">
        <f>IFERROR(INDEX(StatusBranchGrade[Rank/Grade], MATCH(ROWS($U$3:U51)-1, StatusBranchGrade[T2], 0)), "") &amp; ""</f>
        <v/>
      </c>
      <c r="W51" s="63" t="s">
        <v>211</v>
      </c>
    </row>
    <row r="52" spans="1:23" x14ac:dyDescent="0.25">
      <c r="A52">
        <v>4</v>
      </c>
      <c r="B52" t="s">
        <v>339</v>
      </c>
      <c r="C52" t="s">
        <v>183</v>
      </c>
      <c r="D52" t="s">
        <v>101</v>
      </c>
      <c r="E52" t="str">
        <f>IF(StatusBranchGrade[[#This Row],[Status]] = "CYS", "DoD", StatusBranchGrade[[#This Row],[Rank]] &amp; "")</f>
        <v>E-5</v>
      </c>
      <c r="F52" t="s">
        <v>101</v>
      </c>
      <c r="G52" t="str">
        <f>IF(StatusBranchGrade[[#This Row],[Rank]] = StatusBranchGrade[[#This Row],[Grade]], StatusBranchGrade[[#This Row],[Rank]], StatusBranchGrade[[#This Row],[Grade]] &amp; "/" &amp; StatusBranchGrade[[#This Row],[Rank]]) &amp; ""</f>
        <v>E-5</v>
      </c>
      <c r="H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E-5</v>
      </c>
      <c r="I52" s="17" t="str">
        <f>SUBSTITUTE(SUBSTITUTE(SUBSTITUTE(StatusBranchGrade[[#This Row],[Status]] &amp; "  /  " &amp; StatusBranchGrade[[#This Row],[Branch]] &amp; ";", "  /  ;", ";"), "  /  ;", ";"), ";", "")</f>
        <v>Wounded Warrior--GC-approved  /  Air Force</v>
      </c>
      <c r="J52">
        <v>12</v>
      </c>
      <c r="K52" s="17" t="str">
        <f>IF(LEFT(StatusBranchGrade[[#This Row],[Which]], 1) = "1", StatusBranchGrade[[#This Row],[Key]], "")</f>
        <v>Wounded Warrior--GC-approved  /  Air Force  /  E-5</v>
      </c>
      <c r="L52" s="17" t="str">
        <f>IF(LEFT(StatusBranchGrade[[#This Row],[Which]], 1) = "1", StatusBranchGrade[[#This Row],[Key0]], "")</f>
        <v>Wounded Warrior--GC-approved  /  Air Force</v>
      </c>
      <c r="M52" s="17" t="str">
        <f>IF(RIGHT(StatusBranchGrade[[#This Row],[Which]], 1) = "2", StatusBranchGrade[[#This Row],[Key]], "")</f>
        <v>Wounded Warrior--GC-approved  /  Air Force  /  E-5</v>
      </c>
      <c r="N52" s="17" t="str">
        <f>IF(RIGHT(StatusBranchGrade[[#This Row],[Which]], 1) = "2", StatusBranchGrade[[#This Row],[Key0]], "")</f>
        <v>Wounded Warrior--GC-approved  /  Air Force</v>
      </c>
      <c r="O52" s="17" t="s">
        <v>299</v>
      </c>
      <c r="P52" s="17"/>
      <c r="Q52" s="63">
        <f>--ISNUMBER(IF(StatusBranchGrade[[#This Row],[Sponsor0]] = 'Calculation Worksheet'!$AV$6 &amp; "  /  " &amp; 'Calculation Worksheet'!$AV$7, 1, ""))</f>
        <v>0</v>
      </c>
      <c r="R52" s="63" t="str">
        <f>IF(StatusBranchGrade[[#This Row],[S1]] = 1, COUNTIF($Q$3:Q52, 1), "")</f>
        <v/>
      </c>
      <c r="S52" s="63" t="str">
        <f>IFERROR(INDEX(StatusBranchGrade[Rank/Grade], MATCH(ROWS($R$3:R52)-1, StatusBranchGrade[S2], 0)), "") &amp; ""</f>
        <v/>
      </c>
      <c r="T52" s="63">
        <f>--ISNUMBER(IF(StatusBranchGrade[[#This Row],[Spouse0]] = 'Calculation Worksheet'!$CG$6 &amp; "  /  " &amp; 'Calculation Worksheet'!$CG$7, 1, ""))</f>
        <v>0</v>
      </c>
      <c r="U52" s="63" t="str">
        <f>IF(StatusBranchGrade[[#This Row],[T1]] = 1, COUNTIF($T$3:T52, 1), "")</f>
        <v/>
      </c>
      <c r="V52" s="63" t="str">
        <f>IFERROR(INDEX(StatusBranchGrade[Rank/Grade], MATCH(ROWS($U$3:U52)-1, StatusBranchGrade[T2], 0)), "") &amp; ""</f>
        <v/>
      </c>
      <c r="W52" s="63" t="s">
        <v>211</v>
      </c>
    </row>
    <row r="53" spans="1:23" x14ac:dyDescent="0.25">
      <c r="A53">
        <v>4</v>
      </c>
      <c r="B53" t="s">
        <v>339</v>
      </c>
      <c r="C53" t="s">
        <v>183</v>
      </c>
      <c r="D53" t="s">
        <v>100</v>
      </c>
      <c r="E53" t="str">
        <f>IF(StatusBranchGrade[[#This Row],[Status]] = "CYS", "DoD", StatusBranchGrade[[#This Row],[Rank]] &amp; "")</f>
        <v>E-6</v>
      </c>
      <c r="F53" t="s">
        <v>100</v>
      </c>
      <c r="G53" t="str">
        <f>IF(StatusBranchGrade[[#This Row],[Rank]] = StatusBranchGrade[[#This Row],[Grade]], StatusBranchGrade[[#This Row],[Rank]], StatusBranchGrade[[#This Row],[Grade]] &amp; "/" &amp; StatusBranchGrade[[#This Row],[Rank]]) &amp; ""</f>
        <v>E-6</v>
      </c>
      <c r="H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E-6</v>
      </c>
      <c r="I53" s="17" t="str">
        <f>SUBSTITUTE(SUBSTITUTE(SUBSTITUTE(StatusBranchGrade[[#This Row],[Status]] &amp; "  /  " &amp; StatusBranchGrade[[#This Row],[Branch]] &amp; ";", "  /  ;", ";"), "  /  ;", ";"), ";", "")</f>
        <v>Wounded Warrior--GC-approved  /  Air Force</v>
      </c>
      <c r="J53">
        <v>12</v>
      </c>
      <c r="K53" s="17" t="str">
        <f>IF(LEFT(StatusBranchGrade[[#This Row],[Which]], 1) = "1", StatusBranchGrade[[#This Row],[Key]], "")</f>
        <v>Wounded Warrior--GC-approved  /  Air Force  /  E-6</v>
      </c>
      <c r="L53" s="17" t="str">
        <f>IF(LEFT(StatusBranchGrade[[#This Row],[Which]], 1) = "1", StatusBranchGrade[[#This Row],[Key0]], "")</f>
        <v>Wounded Warrior--GC-approved  /  Air Force</v>
      </c>
      <c r="M53" s="17" t="str">
        <f>IF(RIGHT(StatusBranchGrade[[#This Row],[Which]], 1) = "2", StatusBranchGrade[[#This Row],[Key]], "")</f>
        <v>Wounded Warrior--GC-approved  /  Air Force  /  E-6</v>
      </c>
      <c r="N53" s="17" t="str">
        <f>IF(RIGHT(StatusBranchGrade[[#This Row],[Which]], 1) = "2", StatusBranchGrade[[#This Row],[Key0]], "")</f>
        <v>Wounded Warrior--GC-approved  /  Air Force</v>
      </c>
      <c r="O53" s="17" t="s">
        <v>299</v>
      </c>
      <c r="P53" s="17"/>
      <c r="Q53" s="63">
        <f>--ISNUMBER(IF(StatusBranchGrade[[#This Row],[Sponsor0]] = 'Calculation Worksheet'!$AV$6 &amp; "  /  " &amp; 'Calculation Worksheet'!$AV$7, 1, ""))</f>
        <v>0</v>
      </c>
      <c r="R53" s="63" t="str">
        <f>IF(StatusBranchGrade[[#This Row],[S1]] = 1, COUNTIF($Q$3:Q53, 1), "")</f>
        <v/>
      </c>
      <c r="S53" s="63" t="str">
        <f>IFERROR(INDEX(StatusBranchGrade[Rank/Grade], MATCH(ROWS($R$3:R53)-1, StatusBranchGrade[S2], 0)), "") &amp; ""</f>
        <v/>
      </c>
      <c r="T53" s="63">
        <f>--ISNUMBER(IF(StatusBranchGrade[[#This Row],[Spouse0]] = 'Calculation Worksheet'!$CG$6 &amp; "  /  " &amp; 'Calculation Worksheet'!$CG$7, 1, ""))</f>
        <v>0</v>
      </c>
      <c r="U53" s="63" t="str">
        <f>IF(StatusBranchGrade[[#This Row],[T1]] = 1, COUNTIF($T$3:T53, 1), "")</f>
        <v/>
      </c>
      <c r="V53" s="63" t="str">
        <f>IFERROR(INDEX(StatusBranchGrade[Rank/Grade], MATCH(ROWS($U$3:U53)-1, StatusBranchGrade[T2], 0)), "") &amp; ""</f>
        <v/>
      </c>
      <c r="W53" s="63" t="s">
        <v>211</v>
      </c>
    </row>
    <row r="54" spans="1:23" x14ac:dyDescent="0.25">
      <c r="A54">
        <v>4</v>
      </c>
      <c r="B54" t="s">
        <v>339</v>
      </c>
      <c r="C54" t="s">
        <v>183</v>
      </c>
      <c r="D54" t="s">
        <v>99</v>
      </c>
      <c r="E54" t="str">
        <f>IF(StatusBranchGrade[[#This Row],[Status]] = "CYS", "DoD", StatusBranchGrade[[#This Row],[Rank]] &amp; "")</f>
        <v>E-7</v>
      </c>
      <c r="F54" t="s">
        <v>99</v>
      </c>
      <c r="G54" t="str">
        <f>IF(StatusBranchGrade[[#This Row],[Rank]] = StatusBranchGrade[[#This Row],[Grade]], StatusBranchGrade[[#This Row],[Rank]], StatusBranchGrade[[#This Row],[Grade]] &amp; "/" &amp; StatusBranchGrade[[#This Row],[Rank]]) &amp; ""</f>
        <v>E-7</v>
      </c>
      <c r="H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E-7</v>
      </c>
      <c r="I54" s="17" t="str">
        <f>SUBSTITUTE(SUBSTITUTE(SUBSTITUTE(StatusBranchGrade[[#This Row],[Status]] &amp; "  /  " &amp; StatusBranchGrade[[#This Row],[Branch]] &amp; ";", "  /  ;", ";"), "  /  ;", ";"), ";", "")</f>
        <v>Wounded Warrior--GC-approved  /  Air Force</v>
      </c>
      <c r="J54">
        <v>12</v>
      </c>
      <c r="K54" s="17" t="str">
        <f>IF(LEFT(StatusBranchGrade[[#This Row],[Which]], 1) = "1", StatusBranchGrade[[#This Row],[Key]], "")</f>
        <v>Wounded Warrior--GC-approved  /  Air Force  /  E-7</v>
      </c>
      <c r="L54" s="17" t="str">
        <f>IF(LEFT(StatusBranchGrade[[#This Row],[Which]], 1) = "1", StatusBranchGrade[[#This Row],[Key0]], "")</f>
        <v>Wounded Warrior--GC-approved  /  Air Force</v>
      </c>
      <c r="M54" s="17" t="str">
        <f>IF(RIGHT(StatusBranchGrade[[#This Row],[Which]], 1) = "2", StatusBranchGrade[[#This Row],[Key]], "")</f>
        <v>Wounded Warrior--GC-approved  /  Air Force  /  E-7</v>
      </c>
      <c r="N54" s="17" t="str">
        <f>IF(RIGHT(StatusBranchGrade[[#This Row],[Which]], 1) = "2", StatusBranchGrade[[#This Row],[Key0]], "")</f>
        <v>Wounded Warrior--GC-approved  /  Air Force</v>
      </c>
      <c r="O54" s="17" t="s">
        <v>299</v>
      </c>
      <c r="P54" s="17"/>
      <c r="Q54" s="63">
        <f>--ISNUMBER(IF(StatusBranchGrade[[#This Row],[Sponsor0]] = 'Calculation Worksheet'!$AV$6 &amp; "  /  " &amp; 'Calculation Worksheet'!$AV$7, 1, ""))</f>
        <v>0</v>
      </c>
      <c r="R54" s="63" t="str">
        <f>IF(StatusBranchGrade[[#This Row],[S1]] = 1, COUNTIF($Q$3:Q54, 1), "")</f>
        <v/>
      </c>
      <c r="S54" s="63" t="str">
        <f>IFERROR(INDEX(StatusBranchGrade[Rank/Grade], MATCH(ROWS($R$3:R54)-1, StatusBranchGrade[S2], 0)), "") &amp; ""</f>
        <v/>
      </c>
      <c r="T54" s="63">
        <f>--ISNUMBER(IF(StatusBranchGrade[[#This Row],[Spouse0]] = 'Calculation Worksheet'!$CG$6 &amp; "  /  " &amp; 'Calculation Worksheet'!$CG$7, 1, ""))</f>
        <v>0</v>
      </c>
      <c r="U54" s="63" t="str">
        <f>IF(StatusBranchGrade[[#This Row],[T1]] = 1, COUNTIF($T$3:T54, 1), "")</f>
        <v/>
      </c>
      <c r="V54" s="63" t="str">
        <f>IFERROR(INDEX(StatusBranchGrade[Rank/Grade], MATCH(ROWS($U$3:U54)-1, StatusBranchGrade[T2], 0)), "") &amp; ""</f>
        <v/>
      </c>
      <c r="W54" s="63" t="s">
        <v>211</v>
      </c>
    </row>
    <row r="55" spans="1:23" x14ac:dyDescent="0.25">
      <c r="A55">
        <v>4</v>
      </c>
      <c r="B55" t="s">
        <v>339</v>
      </c>
      <c r="C55" t="s">
        <v>183</v>
      </c>
      <c r="D55" t="s">
        <v>98</v>
      </c>
      <c r="E55" t="str">
        <f>IF(StatusBranchGrade[[#This Row],[Status]] = "CYS", "DoD", StatusBranchGrade[[#This Row],[Rank]] &amp; "")</f>
        <v>E-8</v>
      </c>
      <c r="F55" t="s">
        <v>98</v>
      </c>
      <c r="G55" t="str">
        <f>IF(StatusBranchGrade[[#This Row],[Rank]] = StatusBranchGrade[[#This Row],[Grade]], StatusBranchGrade[[#This Row],[Rank]], StatusBranchGrade[[#This Row],[Grade]] &amp; "/" &amp; StatusBranchGrade[[#This Row],[Rank]]) &amp; ""</f>
        <v>E-8</v>
      </c>
      <c r="H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E-8</v>
      </c>
      <c r="I55" s="17" t="str">
        <f>SUBSTITUTE(SUBSTITUTE(SUBSTITUTE(StatusBranchGrade[[#This Row],[Status]] &amp; "  /  " &amp; StatusBranchGrade[[#This Row],[Branch]] &amp; ";", "  /  ;", ";"), "  /  ;", ";"), ";", "")</f>
        <v>Wounded Warrior--GC-approved  /  Air Force</v>
      </c>
      <c r="J55">
        <v>12</v>
      </c>
      <c r="K55" s="17" t="str">
        <f>IF(LEFT(StatusBranchGrade[[#This Row],[Which]], 1) = "1", StatusBranchGrade[[#This Row],[Key]], "")</f>
        <v>Wounded Warrior--GC-approved  /  Air Force  /  E-8</v>
      </c>
      <c r="L55" s="17" t="str">
        <f>IF(LEFT(StatusBranchGrade[[#This Row],[Which]], 1) = "1", StatusBranchGrade[[#This Row],[Key0]], "")</f>
        <v>Wounded Warrior--GC-approved  /  Air Force</v>
      </c>
      <c r="M55" s="17" t="str">
        <f>IF(RIGHT(StatusBranchGrade[[#This Row],[Which]], 1) = "2", StatusBranchGrade[[#This Row],[Key]], "")</f>
        <v>Wounded Warrior--GC-approved  /  Air Force  /  E-8</v>
      </c>
      <c r="N55" s="17" t="str">
        <f>IF(RIGHT(StatusBranchGrade[[#This Row],[Which]], 1) = "2", StatusBranchGrade[[#This Row],[Key0]], "")</f>
        <v>Wounded Warrior--GC-approved  /  Air Force</v>
      </c>
      <c r="O55" s="17" t="s">
        <v>299</v>
      </c>
      <c r="P55" s="17"/>
      <c r="Q55" s="63">
        <f>--ISNUMBER(IF(StatusBranchGrade[[#This Row],[Sponsor0]] = 'Calculation Worksheet'!$AV$6 &amp; "  /  " &amp; 'Calculation Worksheet'!$AV$7, 1, ""))</f>
        <v>0</v>
      </c>
      <c r="R55" s="63" t="str">
        <f>IF(StatusBranchGrade[[#This Row],[S1]] = 1, COUNTIF($Q$3:Q55, 1), "")</f>
        <v/>
      </c>
      <c r="S55" s="63" t="str">
        <f>IFERROR(INDEX(StatusBranchGrade[Rank/Grade], MATCH(ROWS($R$3:R55)-1, StatusBranchGrade[S2], 0)), "") &amp; ""</f>
        <v/>
      </c>
      <c r="T55" s="63">
        <f>--ISNUMBER(IF(StatusBranchGrade[[#This Row],[Spouse0]] = 'Calculation Worksheet'!$CG$6 &amp; "  /  " &amp; 'Calculation Worksheet'!$CG$7, 1, ""))</f>
        <v>0</v>
      </c>
      <c r="U55" s="63" t="str">
        <f>IF(StatusBranchGrade[[#This Row],[T1]] = 1, COUNTIF($T$3:T55, 1), "")</f>
        <v/>
      </c>
      <c r="V55" s="63" t="str">
        <f>IFERROR(INDEX(StatusBranchGrade[Rank/Grade], MATCH(ROWS($U$3:U55)-1, StatusBranchGrade[T2], 0)), "") &amp; ""</f>
        <v/>
      </c>
      <c r="W55" s="63"/>
    </row>
    <row r="56" spans="1:23" x14ac:dyDescent="0.25">
      <c r="A56">
        <v>4</v>
      </c>
      <c r="B56" t="s">
        <v>339</v>
      </c>
      <c r="C56" t="s">
        <v>183</v>
      </c>
      <c r="D56" t="s">
        <v>97</v>
      </c>
      <c r="E56" t="str">
        <f>IF(StatusBranchGrade[[#This Row],[Status]] = "CYS", "DoD", StatusBranchGrade[[#This Row],[Rank]] &amp; "")</f>
        <v>E-9</v>
      </c>
      <c r="F56" t="s">
        <v>97</v>
      </c>
      <c r="G56" t="str">
        <f>IF(StatusBranchGrade[[#This Row],[Rank]] = StatusBranchGrade[[#This Row],[Grade]], StatusBranchGrade[[#This Row],[Rank]], StatusBranchGrade[[#This Row],[Grade]] &amp; "/" &amp; StatusBranchGrade[[#This Row],[Rank]]) &amp; ""</f>
        <v>E-9</v>
      </c>
      <c r="H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E-9</v>
      </c>
      <c r="I56" s="17" t="str">
        <f>SUBSTITUTE(SUBSTITUTE(SUBSTITUTE(StatusBranchGrade[[#This Row],[Status]] &amp; "  /  " &amp; StatusBranchGrade[[#This Row],[Branch]] &amp; ";", "  /  ;", ";"), "  /  ;", ";"), ";", "")</f>
        <v>Wounded Warrior--GC-approved  /  Air Force</v>
      </c>
      <c r="J56">
        <v>12</v>
      </c>
      <c r="K56" s="17" t="str">
        <f>IF(LEFT(StatusBranchGrade[[#This Row],[Which]], 1) = "1", StatusBranchGrade[[#This Row],[Key]], "")</f>
        <v>Wounded Warrior--GC-approved  /  Air Force  /  E-9</v>
      </c>
      <c r="L56" s="17" t="str">
        <f>IF(LEFT(StatusBranchGrade[[#This Row],[Which]], 1) = "1", StatusBranchGrade[[#This Row],[Key0]], "")</f>
        <v>Wounded Warrior--GC-approved  /  Air Force</v>
      </c>
      <c r="M56" s="17" t="str">
        <f>IF(RIGHT(StatusBranchGrade[[#This Row],[Which]], 1) = "2", StatusBranchGrade[[#This Row],[Key]], "")</f>
        <v>Wounded Warrior--GC-approved  /  Air Force  /  E-9</v>
      </c>
      <c r="N56" s="17" t="str">
        <f>IF(RIGHT(StatusBranchGrade[[#This Row],[Which]], 1) = "2", StatusBranchGrade[[#This Row],[Key0]], "")</f>
        <v>Wounded Warrior--GC-approved  /  Air Force</v>
      </c>
      <c r="O56" s="17" t="s">
        <v>299</v>
      </c>
      <c r="P56" s="17"/>
      <c r="Q56" s="63">
        <f>--ISNUMBER(IF(StatusBranchGrade[[#This Row],[Sponsor0]] = 'Calculation Worksheet'!$AV$6 &amp; "  /  " &amp; 'Calculation Worksheet'!$AV$7, 1, ""))</f>
        <v>0</v>
      </c>
      <c r="R56" s="63" t="str">
        <f>IF(StatusBranchGrade[[#This Row],[S1]] = 1, COUNTIF($Q$3:Q56, 1), "")</f>
        <v/>
      </c>
      <c r="S56" s="63" t="str">
        <f>IFERROR(INDEX(StatusBranchGrade[Rank/Grade], MATCH(ROWS($R$3:R56)-1, StatusBranchGrade[S2], 0)), "") &amp; ""</f>
        <v/>
      </c>
      <c r="T56" s="63">
        <f>--ISNUMBER(IF(StatusBranchGrade[[#This Row],[Spouse0]] = 'Calculation Worksheet'!$CG$6 &amp; "  /  " &amp; 'Calculation Worksheet'!$CG$7, 1, ""))</f>
        <v>0</v>
      </c>
      <c r="U56" s="63" t="str">
        <f>IF(StatusBranchGrade[[#This Row],[T1]] = 1, COUNTIF($T$3:T56, 1), "")</f>
        <v/>
      </c>
      <c r="V56" s="63" t="str">
        <f>IFERROR(INDEX(StatusBranchGrade[Rank/Grade], MATCH(ROWS($U$3:U56)-1, StatusBranchGrade[T2], 0)), "") &amp; ""</f>
        <v/>
      </c>
      <c r="W56" s="63"/>
    </row>
    <row r="57" spans="1:23" x14ac:dyDescent="0.25">
      <c r="A57">
        <v>4</v>
      </c>
      <c r="B57" t="s">
        <v>339</v>
      </c>
      <c r="C57" t="s">
        <v>183</v>
      </c>
      <c r="D57" t="s">
        <v>91</v>
      </c>
      <c r="E57" t="str">
        <f>IF(StatusBranchGrade[[#This Row],[Status]] = "CYS", "DoD", StatusBranchGrade[[#This Row],[Rank]] &amp; "")</f>
        <v>O-1</v>
      </c>
      <c r="F57" t="s">
        <v>91</v>
      </c>
      <c r="G57" t="str">
        <f>IF(StatusBranchGrade[[#This Row],[Rank]] = StatusBranchGrade[[#This Row],[Grade]], StatusBranchGrade[[#This Row],[Rank]], StatusBranchGrade[[#This Row],[Grade]] &amp; "/" &amp; StatusBranchGrade[[#This Row],[Rank]]) &amp; ""</f>
        <v>O-1</v>
      </c>
      <c r="H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O-1</v>
      </c>
      <c r="I57" s="17" t="str">
        <f>SUBSTITUTE(SUBSTITUTE(SUBSTITUTE(StatusBranchGrade[[#This Row],[Status]] &amp; "  /  " &amp; StatusBranchGrade[[#This Row],[Branch]] &amp; ";", "  /  ;", ";"), "  /  ;", ";"), ";", "")</f>
        <v>Wounded Warrior--GC-approved  /  Air Force</v>
      </c>
      <c r="J57">
        <v>12</v>
      </c>
      <c r="K57" s="17" t="str">
        <f>IF(LEFT(StatusBranchGrade[[#This Row],[Which]], 1) = "1", StatusBranchGrade[[#This Row],[Key]], "")</f>
        <v>Wounded Warrior--GC-approved  /  Air Force  /  O-1</v>
      </c>
      <c r="L57" s="17" t="str">
        <f>IF(LEFT(StatusBranchGrade[[#This Row],[Which]], 1) = "1", StatusBranchGrade[[#This Row],[Key0]], "")</f>
        <v>Wounded Warrior--GC-approved  /  Air Force</v>
      </c>
      <c r="M57" s="17" t="str">
        <f>IF(RIGHT(StatusBranchGrade[[#This Row],[Which]], 1) = "2", StatusBranchGrade[[#This Row],[Key]], "")</f>
        <v>Wounded Warrior--GC-approved  /  Air Force  /  O-1</v>
      </c>
      <c r="N57" s="17" t="str">
        <f>IF(RIGHT(StatusBranchGrade[[#This Row],[Which]], 1) = "2", StatusBranchGrade[[#This Row],[Key0]], "")</f>
        <v>Wounded Warrior--GC-approved  /  Air Force</v>
      </c>
      <c r="O57" s="17" t="s">
        <v>299</v>
      </c>
      <c r="P57" s="17"/>
      <c r="Q57" s="63">
        <f>--ISNUMBER(IF(StatusBranchGrade[[#This Row],[Sponsor0]] = 'Calculation Worksheet'!$AV$6 &amp; "  /  " &amp; 'Calculation Worksheet'!$AV$7, 1, ""))</f>
        <v>0</v>
      </c>
      <c r="R57" s="63" t="str">
        <f>IF(StatusBranchGrade[[#This Row],[S1]] = 1, COUNTIF($Q$3:Q57, 1), "")</f>
        <v/>
      </c>
      <c r="S57" s="63" t="str">
        <f>IFERROR(INDEX(StatusBranchGrade[Rank/Grade], MATCH(ROWS($R$3:R57)-1, StatusBranchGrade[S2], 0)), "") &amp; ""</f>
        <v/>
      </c>
      <c r="T57" s="63">
        <f>--ISNUMBER(IF(StatusBranchGrade[[#This Row],[Spouse0]] = 'Calculation Worksheet'!$CG$6 &amp; "  /  " &amp; 'Calculation Worksheet'!$CG$7, 1, ""))</f>
        <v>0</v>
      </c>
      <c r="U57" s="63" t="str">
        <f>IF(StatusBranchGrade[[#This Row],[T1]] = 1, COUNTIF($T$3:T57, 1), "")</f>
        <v/>
      </c>
      <c r="V57" s="63" t="str">
        <f>IFERROR(INDEX(StatusBranchGrade[Rank/Grade], MATCH(ROWS($U$3:U57)-1, StatusBranchGrade[T2], 0)), "") &amp; ""</f>
        <v/>
      </c>
      <c r="W57" s="63"/>
    </row>
    <row r="58" spans="1:23" x14ac:dyDescent="0.25">
      <c r="A58">
        <v>4</v>
      </c>
      <c r="B58" t="s">
        <v>339</v>
      </c>
      <c r="C58" t="s">
        <v>183</v>
      </c>
      <c r="D58" s="75" t="s">
        <v>10</v>
      </c>
      <c r="E58" s="75" t="str">
        <f>IF(StatusBranchGrade[[#This Row],[Status]] = "CYS", "DoD", StatusBranchGrade[[#This Row],[Rank]] &amp; "")</f>
        <v>O1E</v>
      </c>
      <c r="F58" s="75" t="s">
        <v>91</v>
      </c>
      <c r="G58" s="75" t="str">
        <f>IF(StatusBranchGrade[[#This Row],[Rank]] = StatusBranchGrade[[#This Row],[Grade]], StatusBranchGrade[[#This Row],[Rank]], StatusBranchGrade[[#This Row],[Grade]] &amp; "/" &amp; StatusBranchGrade[[#This Row],[Rank]]) &amp; ""</f>
        <v>O-1/O1E</v>
      </c>
      <c r="H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O-1/O1E</v>
      </c>
      <c r="I58" s="17" t="str">
        <f>SUBSTITUTE(SUBSTITUTE(SUBSTITUTE(StatusBranchGrade[[#This Row],[Status]] &amp; "  /  " &amp; StatusBranchGrade[[#This Row],[Branch]] &amp; ";", "  /  ;", ";"), "  /  ;", ";"), ";", "")</f>
        <v>Wounded Warrior--GC-approved  /  Air Force</v>
      </c>
      <c r="J58">
        <v>12</v>
      </c>
      <c r="K58" s="17" t="str">
        <f>IF(LEFT(StatusBranchGrade[[#This Row],[Which]], 1) = "1", StatusBranchGrade[[#This Row],[Key]], "")</f>
        <v>Wounded Warrior--GC-approved  /  Air Force  /  O-1/O1E</v>
      </c>
      <c r="L58" s="17" t="str">
        <f>IF(LEFT(StatusBranchGrade[[#This Row],[Which]], 1) = "1", StatusBranchGrade[[#This Row],[Key0]], "")</f>
        <v>Wounded Warrior--GC-approved  /  Air Force</v>
      </c>
      <c r="M58" s="17" t="str">
        <f>IF(RIGHT(StatusBranchGrade[[#This Row],[Which]], 1) = "2", StatusBranchGrade[[#This Row],[Key]], "")</f>
        <v>Wounded Warrior--GC-approved  /  Air Force  /  O-1/O1E</v>
      </c>
      <c r="N58" s="17" t="str">
        <f>IF(RIGHT(StatusBranchGrade[[#This Row],[Which]], 1) = "2", StatusBranchGrade[[#This Row],[Key0]], "")</f>
        <v>Wounded Warrior--GC-approved  /  Air Force</v>
      </c>
      <c r="O58" s="17" t="s">
        <v>299</v>
      </c>
      <c r="P58" s="17"/>
      <c r="Q58" s="63">
        <f>--ISNUMBER(IF(StatusBranchGrade[[#This Row],[Sponsor0]] = 'Calculation Worksheet'!$AV$6 &amp; "  /  " &amp; 'Calculation Worksheet'!$AV$7, 1, ""))</f>
        <v>0</v>
      </c>
      <c r="R58" s="63" t="str">
        <f>IF(StatusBranchGrade[[#This Row],[S1]] = 1, COUNTIF($Q$3:Q58, 1), "")</f>
        <v/>
      </c>
      <c r="S58" s="63" t="str">
        <f>IFERROR(INDEX(StatusBranchGrade[Rank/Grade], MATCH(ROWS($R$3:R58)-1, StatusBranchGrade[S2], 0)), "") &amp; ""</f>
        <v/>
      </c>
      <c r="T58" s="63">
        <f>--ISNUMBER(IF(StatusBranchGrade[[#This Row],[Spouse0]] = 'Calculation Worksheet'!$CG$6 &amp; "  /  " &amp; 'Calculation Worksheet'!$CG$7, 1, ""))</f>
        <v>0</v>
      </c>
      <c r="U58" s="63" t="str">
        <f>IF(StatusBranchGrade[[#This Row],[T1]] = 1, COUNTIF($T$3:T58, 1), "")</f>
        <v/>
      </c>
      <c r="V58" s="63" t="str">
        <f>IFERROR(INDEX(StatusBranchGrade[Rank/Grade], MATCH(ROWS($U$3:U58)-1, StatusBranchGrade[T2], 0)), "") &amp; ""</f>
        <v/>
      </c>
      <c r="W58" s="63" t="s">
        <v>209</v>
      </c>
    </row>
    <row r="59" spans="1:23" x14ac:dyDescent="0.25">
      <c r="A59">
        <v>4</v>
      </c>
      <c r="B59" t="s">
        <v>339</v>
      </c>
      <c r="C59" t="s">
        <v>183</v>
      </c>
      <c r="D59" t="s">
        <v>82</v>
      </c>
      <c r="E59" t="str">
        <f>IF(StatusBranchGrade[[#This Row],[Status]] = "CYS", "DoD", StatusBranchGrade[[#This Row],[Rank]] &amp; "")</f>
        <v>O-10</v>
      </c>
      <c r="F59" t="s">
        <v>82</v>
      </c>
      <c r="G59" t="str">
        <f>IF(StatusBranchGrade[[#This Row],[Rank]] = StatusBranchGrade[[#This Row],[Grade]], StatusBranchGrade[[#This Row],[Rank]], StatusBranchGrade[[#This Row],[Grade]] &amp; "/" &amp; StatusBranchGrade[[#This Row],[Rank]]) &amp; ""</f>
        <v>O-10</v>
      </c>
      <c r="H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O-10</v>
      </c>
      <c r="I59" s="17" t="str">
        <f>SUBSTITUTE(SUBSTITUTE(SUBSTITUTE(StatusBranchGrade[[#This Row],[Status]] &amp; "  /  " &amp; StatusBranchGrade[[#This Row],[Branch]] &amp; ";", "  /  ;", ";"), "  /  ;", ";"), ";", "")</f>
        <v>Wounded Warrior--GC-approved  /  Air Force</v>
      </c>
      <c r="J59">
        <v>12</v>
      </c>
      <c r="K59" s="17" t="str">
        <f>IF(LEFT(StatusBranchGrade[[#This Row],[Which]], 1) = "1", StatusBranchGrade[[#This Row],[Key]], "")</f>
        <v>Wounded Warrior--GC-approved  /  Air Force  /  O-10</v>
      </c>
      <c r="L59" s="17" t="str">
        <f>IF(LEFT(StatusBranchGrade[[#This Row],[Which]], 1) = "1", StatusBranchGrade[[#This Row],[Key0]], "")</f>
        <v>Wounded Warrior--GC-approved  /  Air Force</v>
      </c>
      <c r="M59" s="17" t="str">
        <f>IF(RIGHT(StatusBranchGrade[[#This Row],[Which]], 1) = "2", StatusBranchGrade[[#This Row],[Key]], "")</f>
        <v>Wounded Warrior--GC-approved  /  Air Force  /  O-10</v>
      </c>
      <c r="N59" s="17" t="str">
        <f>IF(RIGHT(StatusBranchGrade[[#This Row],[Which]], 1) = "2", StatusBranchGrade[[#This Row],[Key0]], "")</f>
        <v>Wounded Warrior--GC-approved  /  Air Force</v>
      </c>
      <c r="O59" s="17" t="s">
        <v>299</v>
      </c>
      <c r="P59" s="17"/>
      <c r="Q59" s="63">
        <f>--ISNUMBER(IF(StatusBranchGrade[[#This Row],[Sponsor0]] = 'Calculation Worksheet'!$AV$6 &amp; "  /  " &amp; 'Calculation Worksheet'!$AV$7, 1, ""))</f>
        <v>0</v>
      </c>
      <c r="R59" s="63" t="str">
        <f>IF(StatusBranchGrade[[#This Row],[S1]] = 1, COUNTIF($Q$3:Q59, 1), "")</f>
        <v/>
      </c>
      <c r="S59" s="63" t="str">
        <f>IFERROR(INDEX(StatusBranchGrade[Rank/Grade], MATCH(ROWS($R$3:R59)-1, StatusBranchGrade[S2], 0)), "") &amp; ""</f>
        <v/>
      </c>
      <c r="T59" s="63">
        <f>--ISNUMBER(IF(StatusBranchGrade[[#This Row],[Spouse0]] = 'Calculation Worksheet'!$CG$6 &amp; "  /  " &amp; 'Calculation Worksheet'!$CG$7, 1, ""))</f>
        <v>0</v>
      </c>
      <c r="U59" s="63" t="str">
        <f>IF(StatusBranchGrade[[#This Row],[T1]] = 1, COUNTIF($T$3:T59, 1), "")</f>
        <v/>
      </c>
      <c r="V59" s="63" t="str">
        <f>IFERROR(INDEX(StatusBranchGrade[Rank/Grade], MATCH(ROWS($U$3:U59)-1, StatusBranchGrade[T2], 0)), "") &amp; ""</f>
        <v/>
      </c>
      <c r="W59" s="63" t="s">
        <v>209</v>
      </c>
    </row>
    <row r="60" spans="1:23" x14ac:dyDescent="0.25">
      <c r="A60">
        <v>4</v>
      </c>
      <c r="B60" t="s">
        <v>339</v>
      </c>
      <c r="C60" t="s">
        <v>183</v>
      </c>
      <c r="D60" t="s">
        <v>90</v>
      </c>
      <c r="E60" t="str">
        <f>IF(StatusBranchGrade[[#This Row],[Status]] = "CYS", "DoD", StatusBranchGrade[[#This Row],[Rank]] &amp; "")</f>
        <v>O-2</v>
      </c>
      <c r="F60" t="s">
        <v>90</v>
      </c>
      <c r="G60" t="str">
        <f>IF(StatusBranchGrade[[#This Row],[Rank]] = StatusBranchGrade[[#This Row],[Grade]], StatusBranchGrade[[#This Row],[Rank]], StatusBranchGrade[[#This Row],[Grade]] &amp; "/" &amp; StatusBranchGrade[[#This Row],[Rank]]) &amp; ""</f>
        <v>O-2</v>
      </c>
      <c r="H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O-2</v>
      </c>
      <c r="I60" s="17" t="str">
        <f>SUBSTITUTE(SUBSTITUTE(SUBSTITUTE(StatusBranchGrade[[#This Row],[Status]] &amp; "  /  " &amp; StatusBranchGrade[[#This Row],[Branch]] &amp; ";", "  /  ;", ";"), "  /  ;", ";"), ";", "")</f>
        <v>Wounded Warrior--GC-approved  /  Air Force</v>
      </c>
      <c r="J60">
        <v>12</v>
      </c>
      <c r="K60" s="17" t="str">
        <f>IF(LEFT(StatusBranchGrade[[#This Row],[Which]], 1) = "1", StatusBranchGrade[[#This Row],[Key]], "")</f>
        <v>Wounded Warrior--GC-approved  /  Air Force  /  O-2</v>
      </c>
      <c r="L60" s="17" t="str">
        <f>IF(LEFT(StatusBranchGrade[[#This Row],[Which]], 1) = "1", StatusBranchGrade[[#This Row],[Key0]], "")</f>
        <v>Wounded Warrior--GC-approved  /  Air Force</v>
      </c>
      <c r="M60" s="17" t="str">
        <f>IF(RIGHT(StatusBranchGrade[[#This Row],[Which]], 1) = "2", StatusBranchGrade[[#This Row],[Key]], "")</f>
        <v>Wounded Warrior--GC-approved  /  Air Force  /  O-2</v>
      </c>
      <c r="N60" s="17" t="str">
        <f>IF(RIGHT(StatusBranchGrade[[#This Row],[Which]], 1) = "2", StatusBranchGrade[[#This Row],[Key0]], "")</f>
        <v>Wounded Warrior--GC-approved  /  Air Force</v>
      </c>
      <c r="O60" s="17" t="s">
        <v>299</v>
      </c>
      <c r="P60" s="17"/>
      <c r="Q60" s="63">
        <f>--ISNUMBER(IF(StatusBranchGrade[[#This Row],[Sponsor0]] = 'Calculation Worksheet'!$AV$6 &amp; "  /  " &amp; 'Calculation Worksheet'!$AV$7, 1, ""))</f>
        <v>0</v>
      </c>
      <c r="R60" s="63" t="str">
        <f>IF(StatusBranchGrade[[#This Row],[S1]] = 1, COUNTIF($Q$3:Q60, 1), "")</f>
        <v/>
      </c>
      <c r="S60" s="63" t="str">
        <f>IFERROR(INDEX(StatusBranchGrade[Rank/Grade], MATCH(ROWS($R$3:R60)-1, StatusBranchGrade[S2], 0)), "") &amp; ""</f>
        <v/>
      </c>
      <c r="T60" s="63">
        <f>--ISNUMBER(IF(StatusBranchGrade[[#This Row],[Spouse0]] = 'Calculation Worksheet'!$CG$6 &amp; "  /  " &amp; 'Calculation Worksheet'!$CG$7, 1, ""))</f>
        <v>0</v>
      </c>
      <c r="U60" s="63" t="str">
        <f>IF(StatusBranchGrade[[#This Row],[T1]] = 1, COUNTIF($T$3:T60, 1), "")</f>
        <v/>
      </c>
      <c r="V60" s="63" t="str">
        <f>IFERROR(INDEX(StatusBranchGrade[Rank/Grade], MATCH(ROWS($U$3:U60)-1, StatusBranchGrade[T2], 0)), "") &amp; ""</f>
        <v/>
      </c>
      <c r="W60" s="63"/>
    </row>
    <row r="61" spans="1:23" x14ac:dyDescent="0.25">
      <c r="A61">
        <v>4</v>
      </c>
      <c r="B61" t="s">
        <v>339</v>
      </c>
      <c r="C61" t="s">
        <v>183</v>
      </c>
      <c r="D61" s="75" t="s">
        <v>11</v>
      </c>
      <c r="E61" s="75" t="str">
        <f>IF(StatusBranchGrade[[#This Row],[Status]] = "CYS", "DoD", StatusBranchGrade[[#This Row],[Rank]] &amp; "")</f>
        <v>O2E</v>
      </c>
      <c r="F61" s="75" t="s">
        <v>90</v>
      </c>
      <c r="G61" s="75" t="str">
        <f>IF(StatusBranchGrade[[#This Row],[Rank]] = StatusBranchGrade[[#This Row],[Grade]], StatusBranchGrade[[#This Row],[Rank]], StatusBranchGrade[[#This Row],[Grade]] &amp; "/" &amp; StatusBranchGrade[[#This Row],[Rank]]) &amp; ""</f>
        <v>O-2/O2E</v>
      </c>
      <c r="H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O-2/O2E</v>
      </c>
      <c r="I61" s="17" t="str">
        <f>SUBSTITUTE(SUBSTITUTE(SUBSTITUTE(StatusBranchGrade[[#This Row],[Status]] &amp; "  /  " &amp; StatusBranchGrade[[#This Row],[Branch]] &amp; ";", "  /  ;", ";"), "  /  ;", ";"), ";", "")</f>
        <v>Wounded Warrior--GC-approved  /  Air Force</v>
      </c>
      <c r="J61">
        <v>12</v>
      </c>
      <c r="K61" s="17" t="str">
        <f>IF(LEFT(StatusBranchGrade[[#This Row],[Which]], 1) = "1", StatusBranchGrade[[#This Row],[Key]], "")</f>
        <v>Wounded Warrior--GC-approved  /  Air Force  /  O-2/O2E</v>
      </c>
      <c r="L61" s="17" t="str">
        <f>IF(LEFT(StatusBranchGrade[[#This Row],[Which]], 1) = "1", StatusBranchGrade[[#This Row],[Key0]], "")</f>
        <v>Wounded Warrior--GC-approved  /  Air Force</v>
      </c>
      <c r="M61" s="17" t="str">
        <f>IF(RIGHT(StatusBranchGrade[[#This Row],[Which]], 1) = "2", StatusBranchGrade[[#This Row],[Key]], "")</f>
        <v>Wounded Warrior--GC-approved  /  Air Force  /  O-2/O2E</v>
      </c>
      <c r="N61" s="17" t="str">
        <f>IF(RIGHT(StatusBranchGrade[[#This Row],[Which]], 1) = "2", StatusBranchGrade[[#This Row],[Key0]], "")</f>
        <v>Wounded Warrior--GC-approved  /  Air Force</v>
      </c>
      <c r="O61" s="17" t="s">
        <v>299</v>
      </c>
      <c r="P61" s="17"/>
      <c r="Q61" s="63">
        <f>--ISNUMBER(IF(StatusBranchGrade[[#This Row],[Sponsor0]] = 'Calculation Worksheet'!$AV$6 &amp; "  /  " &amp; 'Calculation Worksheet'!$AV$7, 1, ""))</f>
        <v>0</v>
      </c>
      <c r="R61" s="63" t="str">
        <f>IF(StatusBranchGrade[[#This Row],[S1]] = 1, COUNTIF($Q$3:Q61, 1), "")</f>
        <v/>
      </c>
      <c r="S61" s="63" t="str">
        <f>IFERROR(INDEX(StatusBranchGrade[Rank/Grade], MATCH(ROWS($R$3:R61)-1, StatusBranchGrade[S2], 0)), "") &amp; ""</f>
        <v/>
      </c>
      <c r="T61" s="63">
        <f>--ISNUMBER(IF(StatusBranchGrade[[#This Row],[Spouse0]] = 'Calculation Worksheet'!$CG$6 &amp; "  /  " &amp; 'Calculation Worksheet'!$CG$7, 1, ""))</f>
        <v>0</v>
      </c>
      <c r="U61" s="63" t="str">
        <f>IF(StatusBranchGrade[[#This Row],[T1]] = 1, COUNTIF($T$3:T61, 1), "")</f>
        <v/>
      </c>
      <c r="V61" s="63" t="str">
        <f>IFERROR(INDEX(StatusBranchGrade[Rank/Grade], MATCH(ROWS($U$3:U61)-1, StatusBranchGrade[T2], 0)), "") &amp; ""</f>
        <v/>
      </c>
      <c r="W61" s="63"/>
    </row>
    <row r="62" spans="1:23" x14ac:dyDescent="0.25">
      <c r="A62">
        <v>4</v>
      </c>
      <c r="B62" t="s">
        <v>339</v>
      </c>
      <c r="C62" t="s">
        <v>183</v>
      </c>
      <c r="D62" t="s">
        <v>89</v>
      </c>
      <c r="E62" t="str">
        <f>IF(StatusBranchGrade[[#This Row],[Status]] = "CYS", "DoD", StatusBranchGrade[[#This Row],[Rank]] &amp; "")</f>
        <v>O-3</v>
      </c>
      <c r="F62" t="s">
        <v>89</v>
      </c>
      <c r="G62" t="str">
        <f>IF(StatusBranchGrade[[#This Row],[Rank]] = StatusBranchGrade[[#This Row],[Grade]], StatusBranchGrade[[#This Row],[Rank]], StatusBranchGrade[[#This Row],[Grade]] &amp; "/" &amp; StatusBranchGrade[[#This Row],[Rank]]) &amp; ""</f>
        <v>O-3</v>
      </c>
      <c r="H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O-3</v>
      </c>
      <c r="I62" s="17" t="str">
        <f>SUBSTITUTE(SUBSTITUTE(SUBSTITUTE(StatusBranchGrade[[#This Row],[Status]] &amp; "  /  " &amp; StatusBranchGrade[[#This Row],[Branch]] &amp; ";", "  /  ;", ";"), "  /  ;", ";"), ";", "")</f>
        <v>Wounded Warrior--GC-approved  /  Air Force</v>
      </c>
      <c r="J62">
        <v>12</v>
      </c>
      <c r="K62" s="17" t="str">
        <f>IF(LEFT(StatusBranchGrade[[#This Row],[Which]], 1) = "1", StatusBranchGrade[[#This Row],[Key]], "")</f>
        <v>Wounded Warrior--GC-approved  /  Air Force  /  O-3</v>
      </c>
      <c r="L62" s="17" t="str">
        <f>IF(LEFT(StatusBranchGrade[[#This Row],[Which]], 1) = "1", StatusBranchGrade[[#This Row],[Key0]], "")</f>
        <v>Wounded Warrior--GC-approved  /  Air Force</v>
      </c>
      <c r="M62" s="17" t="str">
        <f>IF(RIGHT(StatusBranchGrade[[#This Row],[Which]], 1) = "2", StatusBranchGrade[[#This Row],[Key]], "")</f>
        <v>Wounded Warrior--GC-approved  /  Air Force  /  O-3</v>
      </c>
      <c r="N62" s="17" t="str">
        <f>IF(RIGHT(StatusBranchGrade[[#This Row],[Which]], 1) = "2", StatusBranchGrade[[#This Row],[Key0]], "")</f>
        <v>Wounded Warrior--GC-approved  /  Air Force</v>
      </c>
      <c r="O62" s="17" t="s">
        <v>299</v>
      </c>
      <c r="P62" s="17"/>
      <c r="Q62" s="63">
        <f>--ISNUMBER(IF(StatusBranchGrade[[#This Row],[Sponsor0]] = 'Calculation Worksheet'!$AV$6 &amp; "  /  " &amp; 'Calculation Worksheet'!$AV$7, 1, ""))</f>
        <v>0</v>
      </c>
      <c r="R62" s="63" t="str">
        <f>IF(StatusBranchGrade[[#This Row],[S1]] = 1, COUNTIF($Q$3:Q62, 1), "")</f>
        <v/>
      </c>
      <c r="S62" s="63" t="str">
        <f>IFERROR(INDEX(StatusBranchGrade[Rank/Grade], MATCH(ROWS($R$3:R62)-1, StatusBranchGrade[S2], 0)), "") &amp; ""</f>
        <v/>
      </c>
      <c r="T62" s="63">
        <f>--ISNUMBER(IF(StatusBranchGrade[[#This Row],[Spouse0]] = 'Calculation Worksheet'!$CG$6 &amp; "  /  " &amp; 'Calculation Worksheet'!$CG$7, 1, ""))</f>
        <v>0</v>
      </c>
      <c r="U62" s="63" t="str">
        <f>IF(StatusBranchGrade[[#This Row],[T1]] = 1, COUNTIF($T$3:T62, 1), "")</f>
        <v/>
      </c>
      <c r="V62" s="63" t="str">
        <f>IFERROR(INDEX(StatusBranchGrade[Rank/Grade], MATCH(ROWS($U$3:U62)-1, StatusBranchGrade[T2], 0)), "") &amp; ""</f>
        <v/>
      </c>
      <c r="W62" s="63" t="s">
        <v>207</v>
      </c>
    </row>
    <row r="63" spans="1:23" x14ac:dyDescent="0.25">
      <c r="A63">
        <v>4</v>
      </c>
      <c r="B63" t="s">
        <v>339</v>
      </c>
      <c r="C63" t="s">
        <v>183</v>
      </c>
      <c r="D63" s="75" t="s">
        <v>12</v>
      </c>
      <c r="E63" s="75" t="str">
        <f>IF(StatusBranchGrade[[#This Row],[Status]] = "CYS", "DoD", StatusBranchGrade[[#This Row],[Rank]] &amp; "")</f>
        <v>O3E</v>
      </c>
      <c r="F63" s="75" t="s">
        <v>89</v>
      </c>
      <c r="G63" s="75" t="str">
        <f>IF(StatusBranchGrade[[#This Row],[Rank]] = StatusBranchGrade[[#This Row],[Grade]], StatusBranchGrade[[#This Row],[Rank]], StatusBranchGrade[[#This Row],[Grade]] &amp; "/" &amp; StatusBranchGrade[[#This Row],[Rank]]) &amp; ""</f>
        <v>O-3/O3E</v>
      </c>
      <c r="H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O-3/O3E</v>
      </c>
      <c r="I63" s="17" t="str">
        <f>SUBSTITUTE(SUBSTITUTE(SUBSTITUTE(StatusBranchGrade[[#This Row],[Status]] &amp; "  /  " &amp; StatusBranchGrade[[#This Row],[Branch]] &amp; ";", "  /  ;", ";"), "  /  ;", ";"), ";", "")</f>
        <v>Wounded Warrior--GC-approved  /  Air Force</v>
      </c>
      <c r="J63">
        <v>12</v>
      </c>
      <c r="K63" s="17" t="str">
        <f>IF(LEFT(StatusBranchGrade[[#This Row],[Which]], 1) = "1", StatusBranchGrade[[#This Row],[Key]], "")</f>
        <v>Wounded Warrior--GC-approved  /  Air Force  /  O-3/O3E</v>
      </c>
      <c r="L63" s="17" t="str">
        <f>IF(LEFT(StatusBranchGrade[[#This Row],[Which]], 1) = "1", StatusBranchGrade[[#This Row],[Key0]], "")</f>
        <v>Wounded Warrior--GC-approved  /  Air Force</v>
      </c>
      <c r="M63" s="17" t="str">
        <f>IF(RIGHT(StatusBranchGrade[[#This Row],[Which]], 1) = "2", StatusBranchGrade[[#This Row],[Key]], "")</f>
        <v>Wounded Warrior--GC-approved  /  Air Force  /  O-3/O3E</v>
      </c>
      <c r="N63" s="17" t="str">
        <f>IF(RIGHT(StatusBranchGrade[[#This Row],[Which]], 1) = "2", StatusBranchGrade[[#This Row],[Key0]], "")</f>
        <v>Wounded Warrior--GC-approved  /  Air Force</v>
      </c>
      <c r="O63" s="17" t="s">
        <v>299</v>
      </c>
      <c r="P63" s="17"/>
      <c r="Q63" s="63">
        <f>--ISNUMBER(IF(StatusBranchGrade[[#This Row],[Sponsor0]] = 'Calculation Worksheet'!$AV$6 &amp; "  /  " &amp; 'Calculation Worksheet'!$AV$7, 1, ""))</f>
        <v>0</v>
      </c>
      <c r="R63" s="63" t="str">
        <f>IF(StatusBranchGrade[[#This Row],[S1]] = 1, COUNTIF($Q$3:Q63, 1), "")</f>
        <v/>
      </c>
      <c r="S63" s="63" t="str">
        <f>IFERROR(INDEX(StatusBranchGrade[Rank/Grade], MATCH(ROWS($R$3:R63)-1, StatusBranchGrade[S2], 0)), "") &amp; ""</f>
        <v/>
      </c>
      <c r="T63" s="63">
        <f>--ISNUMBER(IF(StatusBranchGrade[[#This Row],[Spouse0]] = 'Calculation Worksheet'!$CG$6 &amp; "  /  " &amp; 'Calculation Worksheet'!$CG$7, 1, ""))</f>
        <v>0</v>
      </c>
      <c r="U63" s="63" t="str">
        <f>IF(StatusBranchGrade[[#This Row],[T1]] = 1, COUNTIF($T$3:T63, 1), "")</f>
        <v/>
      </c>
      <c r="V63" s="63" t="str">
        <f>IFERROR(INDEX(StatusBranchGrade[Rank/Grade], MATCH(ROWS($U$3:U63)-1, StatusBranchGrade[T2], 0)), "") &amp; ""</f>
        <v/>
      </c>
      <c r="W63" s="63" t="s">
        <v>208</v>
      </c>
    </row>
    <row r="64" spans="1:23" x14ac:dyDescent="0.25">
      <c r="A64">
        <v>4</v>
      </c>
      <c r="B64" t="s">
        <v>339</v>
      </c>
      <c r="C64" t="s">
        <v>183</v>
      </c>
      <c r="D64" t="s">
        <v>88</v>
      </c>
      <c r="E64" t="str">
        <f>IF(StatusBranchGrade[[#This Row],[Status]] = "CYS", "DoD", StatusBranchGrade[[#This Row],[Rank]] &amp; "")</f>
        <v>O-4</v>
      </c>
      <c r="F64" t="s">
        <v>88</v>
      </c>
      <c r="G64" t="str">
        <f>IF(StatusBranchGrade[[#This Row],[Rank]] = StatusBranchGrade[[#This Row],[Grade]], StatusBranchGrade[[#This Row],[Rank]], StatusBranchGrade[[#This Row],[Grade]] &amp; "/" &amp; StatusBranchGrade[[#This Row],[Rank]]) &amp; ""</f>
        <v>O-4</v>
      </c>
      <c r="H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O-4</v>
      </c>
      <c r="I64" s="17" t="str">
        <f>SUBSTITUTE(SUBSTITUTE(SUBSTITUTE(StatusBranchGrade[[#This Row],[Status]] &amp; "  /  " &amp; StatusBranchGrade[[#This Row],[Branch]] &amp; ";", "  /  ;", ";"), "  /  ;", ";"), ";", "")</f>
        <v>Wounded Warrior--GC-approved  /  Air Force</v>
      </c>
      <c r="J64">
        <v>12</v>
      </c>
      <c r="K64" s="17" t="str">
        <f>IF(LEFT(StatusBranchGrade[[#This Row],[Which]], 1) = "1", StatusBranchGrade[[#This Row],[Key]], "")</f>
        <v>Wounded Warrior--GC-approved  /  Air Force  /  O-4</v>
      </c>
      <c r="L64" s="17" t="str">
        <f>IF(LEFT(StatusBranchGrade[[#This Row],[Which]], 1) = "1", StatusBranchGrade[[#This Row],[Key0]], "")</f>
        <v>Wounded Warrior--GC-approved  /  Air Force</v>
      </c>
      <c r="M64" s="17" t="str">
        <f>IF(RIGHT(StatusBranchGrade[[#This Row],[Which]], 1) = "2", StatusBranchGrade[[#This Row],[Key]], "")</f>
        <v>Wounded Warrior--GC-approved  /  Air Force  /  O-4</v>
      </c>
      <c r="N64" s="17" t="str">
        <f>IF(RIGHT(StatusBranchGrade[[#This Row],[Which]], 1) = "2", StatusBranchGrade[[#This Row],[Key0]], "")</f>
        <v>Wounded Warrior--GC-approved  /  Air Force</v>
      </c>
      <c r="O64" s="17" t="s">
        <v>299</v>
      </c>
      <c r="P64" s="17"/>
      <c r="Q64" s="63">
        <f>--ISNUMBER(IF(StatusBranchGrade[[#This Row],[Sponsor0]] = 'Calculation Worksheet'!$AV$6 &amp; "  /  " &amp; 'Calculation Worksheet'!$AV$7, 1, ""))</f>
        <v>0</v>
      </c>
      <c r="R64" s="63" t="str">
        <f>IF(StatusBranchGrade[[#This Row],[S1]] = 1, COUNTIF($Q$3:Q64, 1), "")</f>
        <v/>
      </c>
      <c r="S64" s="63" t="str">
        <f>IFERROR(INDEX(StatusBranchGrade[Rank/Grade], MATCH(ROWS($R$3:R64)-1, StatusBranchGrade[S2], 0)), "") &amp; ""</f>
        <v/>
      </c>
      <c r="T64" s="63">
        <f>--ISNUMBER(IF(StatusBranchGrade[[#This Row],[Spouse0]] = 'Calculation Worksheet'!$CG$6 &amp; "  /  " &amp; 'Calculation Worksheet'!$CG$7, 1, ""))</f>
        <v>0</v>
      </c>
      <c r="U64" s="63" t="str">
        <f>IF(StatusBranchGrade[[#This Row],[T1]] = 1, COUNTIF($T$3:T64, 1), "")</f>
        <v/>
      </c>
      <c r="V64" s="63" t="str">
        <f>IFERROR(INDEX(StatusBranchGrade[Rank/Grade], MATCH(ROWS($U$3:U64)-1, StatusBranchGrade[T2], 0)), "") &amp; ""</f>
        <v/>
      </c>
      <c r="W64" s="63"/>
    </row>
    <row r="65" spans="1:23" x14ac:dyDescent="0.25">
      <c r="A65">
        <v>4</v>
      </c>
      <c r="B65" t="s">
        <v>339</v>
      </c>
      <c r="C65" t="s">
        <v>183</v>
      </c>
      <c r="D65" t="s">
        <v>87</v>
      </c>
      <c r="E65" t="str">
        <f>IF(StatusBranchGrade[[#This Row],[Status]] = "CYS", "DoD", StatusBranchGrade[[#This Row],[Rank]] &amp; "")</f>
        <v>O-5</v>
      </c>
      <c r="F65" t="s">
        <v>87</v>
      </c>
      <c r="G65" t="str">
        <f>IF(StatusBranchGrade[[#This Row],[Rank]] = StatusBranchGrade[[#This Row],[Grade]], StatusBranchGrade[[#This Row],[Rank]], StatusBranchGrade[[#This Row],[Grade]] &amp; "/" &amp; StatusBranchGrade[[#This Row],[Rank]]) &amp; ""</f>
        <v>O-5</v>
      </c>
      <c r="H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O-5</v>
      </c>
      <c r="I65" s="17" t="str">
        <f>SUBSTITUTE(SUBSTITUTE(SUBSTITUTE(StatusBranchGrade[[#This Row],[Status]] &amp; "  /  " &amp; StatusBranchGrade[[#This Row],[Branch]] &amp; ";", "  /  ;", ";"), "  /  ;", ";"), ";", "")</f>
        <v>Wounded Warrior--GC-approved  /  Air Force</v>
      </c>
      <c r="J65">
        <v>12</v>
      </c>
      <c r="K65" s="17" t="str">
        <f>IF(LEFT(StatusBranchGrade[[#This Row],[Which]], 1) = "1", StatusBranchGrade[[#This Row],[Key]], "")</f>
        <v>Wounded Warrior--GC-approved  /  Air Force  /  O-5</v>
      </c>
      <c r="L65" s="17" t="str">
        <f>IF(LEFT(StatusBranchGrade[[#This Row],[Which]], 1) = "1", StatusBranchGrade[[#This Row],[Key0]], "")</f>
        <v>Wounded Warrior--GC-approved  /  Air Force</v>
      </c>
      <c r="M65" s="17" t="str">
        <f>IF(RIGHT(StatusBranchGrade[[#This Row],[Which]], 1) = "2", StatusBranchGrade[[#This Row],[Key]], "")</f>
        <v>Wounded Warrior--GC-approved  /  Air Force  /  O-5</v>
      </c>
      <c r="N65" s="17" t="str">
        <f>IF(RIGHT(StatusBranchGrade[[#This Row],[Which]], 1) = "2", StatusBranchGrade[[#This Row],[Key0]], "")</f>
        <v>Wounded Warrior--GC-approved  /  Air Force</v>
      </c>
      <c r="O65" s="17" t="s">
        <v>299</v>
      </c>
      <c r="P65" s="17"/>
      <c r="Q65" s="63">
        <f>--ISNUMBER(IF(StatusBranchGrade[[#This Row],[Sponsor0]] = 'Calculation Worksheet'!$AV$6 &amp; "  /  " &amp; 'Calculation Worksheet'!$AV$7, 1, ""))</f>
        <v>0</v>
      </c>
      <c r="R65" s="63" t="str">
        <f>IF(StatusBranchGrade[[#This Row],[S1]] = 1, COUNTIF($Q$3:Q65, 1), "")</f>
        <v/>
      </c>
      <c r="S65" s="63" t="str">
        <f>IFERROR(INDEX(StatusBranchGrade[Rank/Grade], MATCH(ROWS($R$3:R65)-1, StatusBranchGrade[S2], 0)), "") &amp; ""</f>
        <v/>
      </c>
      <c r="T65" s="63">
        <f>--ISNUMBER(IF(StatusBranchGrade[[#This Row],[Spouse0]] = 'Calculation Worksheet'!$CG$6 &amp; "  /  " &amp; 'Calculation Worksheet'!$CG$7, 1, ""))</f>
        <v>0</v>
      </c>
      <c r="U65" s="63" t="str">
        <f>IF(StatusBranchGrade[[#This Row],[T1]] = 1, COUNTIF($T$3:T65, 1), "")</f>
        <v/>
      </c>
      <c r="V65" s="63" t="str">
        <f>IFERROR(INDEX(StatusBranchGrade[Rank/Grade], MATCH(ROWS($U$3:U65)-1, StatusBranchGrade[T2], 0)), "") &amp; ""</f>
        <v/>
      </c>
      <c r="W65" s="63"/>
    </row>
    <row r="66" spans="1:23" x14ac:dyDescent="0.25">
      <c r="A66">
        <v>4</v>
      </c>
      <c r="B66" t="s">
        <v>339</v>
      </c>
      <c r="C66" t="s">
        <v>183</v>
      </c>
      <c r="D66" t="s">
        <v>86</v>
      </c>
      <c r="E66" t="str">
        <f>IF(StatusBranchGrade[[#This Row],[Status]] = "CYS", "DoD", StatusBranchGrade[[#This Row],[Rank]] &amp; "")</f>
        <v>O-6</v>
      </c>
      <c r="F66" t="s">
        <v>86</v>
      </c>
      <c r="G66" t="str">
        <f>IF(StatusBranchGrade[[#This Row],[Rank]] = StatusBranchGrade[[#This Row],[Grade]], StatusBranchGrade[[#This Row],[Rank]], StatusBranchGrade[[#This Row],[Grade]] &amp; "/" &amp; StatusBranchGrade[[#This Row],[Rank]]) &amp; ""</f>
        <v>O-6</v>
      </c>
      <c r="H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O-6</v>
      </c>
      <c r="I66" s="17" t="str">
        <f>SUBSTITUTE(SUBSTITUTE(SUBSTITUTE(StatusBranchGrade[[#This Row],[Status]] &amp; "  /  " &amp; StatusBranchGrade[[#This Row],[Branch]] &amp; ";", "  /  ;", ";"), "  /  ;", ";"), ";", "")</f>
        <v>Wounded Warrior--GC-approved  /  Air Force</v>
      </c>
      <c r="J66">
        <v>12</v>
      </c>
      <c r="K66" s="17" t="str">
        <f>IF(LEFT(StatusBranchGrade[[#This Row],[Which]], 1) = "1", StatusBranchGrade[[#This Row],[Key]], "")</f>
        <v>Wounded Warrior--GC-approved  /  Air Force  /  O-6</v>
      </c>
      <c r="L66" s="17" t="str">
        <f>IF(LEFT(StatusBranchGrade[[#This Row],[Which]], 1) = "1", StatusBranchGrade[[#This Row],[Key0]], "")</f>
        <v>Wounded Warrior--GC-approved  /  Air Force</v>
      </c>
      <c r="M66" s="17" t="str">
        <f>IF(RIGHT(StatusBranchGrade[[#This Row],[Which]], 1) = "2", StatusBranchGrade[[#This Row],[Key]], "")</f>
        <v>Wounded Warrior--GC-approved  /  Air Force  /  O-6</v>
      </c>
      <c r="N66" s="17" t="str">
        <f>IF(RIGHT(StatusBranchGrade[[#This Row],[Which]], 1) = "2", StatusBranchGrade[[#This Row],[Key0]], "")</f>
        <v>Wounded Warrior--GC-approved  /  Air Force</v>
      </c>
      <c r="O66" s="17" t="s">
        <v>299</v>
      </c>
      <c r="P66" s="17"/>
      <c r="Q66" s="63">
        <f>--ISNUMBER(IF(StatusBranchGrade[[#This Row],[Sponsor0]] = 'Calculation Worksheet'!$AV$6 &amp; "  /  " &amp; 'Calculation Worksheet'!$AV$7, 1, ""))</f>
        <v>0</v>
      </c>
      <c r="R66" s="63" t="str">
        <f>IF(StatusBranchGrade[[#This Row],[S1]] = 1, COUNTIF($Q$3:Q66, 1), "")</f>
        <v/>
      </c>
      <c r="S66" s="63" t="str">
        <f>IFERROR(INDEX(StatusBranchGrade[Rank/Grade], MATCH(ROWS($R$3:R66)-1, StatusBranchGrade[S2], 0)), "") &amp; ""</f>
        <v/>
      </c>
      <c r="T66" s="63">
        <f>--ISNUMBER(IF(StatusBranchGrade[[#This Row],[Spouse0]] = 'Calculation Worksheet'!$CG$6 &amp; "  /  " &amp; 'Calculation Worksheet'!$CG$7, 1, ""))</f>
        <v>0</v>
      </c>
      <c r="U66" s="63" t="str">
        <f>IF(StatusBranchGrade[[#This Row],[T1]] = 1, COUNTIF($T$3:T66, 1), "")</f>
        <v/>
      </c>
      <c r="V66" s="63" t="str">
        <f>IFERROR(INDEX(StatusBranchGrade[Rank/Grade], MATCH(ROWS($U$3:U66)-1, StatusBranchGrade[T2], 0)), "") &amp; ""</f>
        <v/>
      </c>
      <c r="W66" s="63"/>
    </row>
    <row r="67" spans="1:23" x14ac:dyDescent="0.25">
      <c r="A67">
        <v>4</v>
      </c>
      <c r="B67" t="s">
        <v>339</v>
      </c>
      <c r="C67" t="s">
        <v>183</v>
      </c>
      <c r="D67" t="s">
        <v>85</v>
      </c>
      <c r="E67" t="str">
        <f>IF(StatusBranchGrade[[#This Row],[Status]] = "CYS", "DoD", StatusBranchGrade[[#This Row],[Rank]] &amp; "")</f>
        <v>O-7</v>
      </c>
      <c r="F67" t="s">
        <v>85</v>
      </c>
      <c r="G67" t="str">
        <f>IF(StatusBranchGrade[[#This Row],[Rank]] = StatusBranchGrade[[#This Row],[Grade]], StatusBranchGrade[[#This Row],[Rank]], StatusBranchGrade[[#This Row],[Grade]] &amp; "/" &amp; StatusBranchGrade[[#This Row],[Rank]]) &amp; ""</f>
        <v>O-7</v>
      </c>
      <c r="H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O-7</v>
      </c>
      <c r="I67" s="17" t="str">
        <f>SUBSTITUTE(SUBSTITUTE(SUBSTITUTE(StatusBranchGrade[[#This Row],[Status]] &amp; "  /  " &amp; StatusBranchGrade[[#This Row],[Branch]] &amp; ";", "  /  ;", ";"), "  /  ;", ";"), ";", "")</f>
        <v>Wounded Warrior--GC-approved  /  Air Force</v>
      </c>
      <c r="J67">
        <v>12</v>
      </c>
      <c r="K67" s="17" t="str">
        <f>IF(LEFT(StatusBranchGrade[[#This Row],[Which]], 1) = "1", StatusBranchGrade[[#This Row],[Key]], "")</f>
        <v>Wounded Warrior--GC-approved  /  Air Force  /  O-7</v>
      </c>
      <c r="L67" s="17" t="str">
        <f>IF(LEFT(StatusBranchGrade[[#This Row],[Which]], 1) = "1", StatusBranchGrade[[#This Row],[Key0]], "")</f>
        <v>Wounded Warrior--GC-approved  /  Air Force</v>
      </c>
      <c r="M67" s="17" t="str">
        <f>IF(RIGHT(StatusBranchGrade[[#This Row],[Which]], 1) = "2", StatusBranchGrade[[#This Row],[Key]], "")</f>
        <v>Wounded Warrior--GC-approved  /  Air Force  /  O-7</v>
      </c>
      <c r="N67" s="17" t="str">
        <f>IF(RIGHT(StatusBranchGrade[[#This Row],[Which]], 1) = "2", StatusBranchGrade[[#This Row],[Key0]], "")</f>
        <v>Wounded Warrior--GC-approved  /  Air Force</v>
      </c>
      <c r="O67" s="17" t="s">
        <v>299</v>
      </c>
      <c r="P67" s="17"/>
      <c r="Q67" s="63">
        <f>--ISNUMBER(IF(StatusBranchGrade[[#This Row],[Sponsor0]] = 'Calculation Worksheet'!$AV$6 &amp; "  /  " &amp; 'Calculation Worksheet'!$AV$7, 1, ""))</f>
        <v>0</v>
      </c>
      <c r="R67" s="63" t="str">
        <f>IF(StatusBranchGrade[[#This Row],[S1]] = 1, COUNTIF($Q$3:Q67, 1), "")</f>
        <v/>
      </c>
      <c r="S67" s="63" t="str">
        <f>IFERROR(INDEX(StatusBranchGrade[Rank/Grade], MATCH(ROWS($R$3:R67)-1, StatusBranchGrade[S2], 0)), "") &amp; ""</f>
        <v/>
      </c>
      <c r="T67" s="63">
        <f>--ISNUMBER(IF(StatusBranchGrade[[#This Row],[Spouse0]] = 'Calculation Worksheet'!$CG$6 &amp; "  /  " &amp; 'Calculation Worksheet'!$CG$7, 1, ""))</f>
        <v>0</v>
      </c>
      <c r="U67" s="63" t="str">
        <f>IF(StatusBranchGrade[[#This Row],[T1]] = 1, COUNTIF($T$3:T67, 1), "")</f>
        <v/>
      </c>
      <c r="V67" s="63" t="str">
        <f>IFERROR(INDEX(StatusBranchGrade[Rank/Grade], MATCH(ROWS($U$3:U67)-1, StatusBranchGrade[T2], 0)), "") &amp; ""</f>
        <v/>
      </c>
      <c r="W67" s="63"/>
    </row>
    <row r="68" spans="1:23" x14ac:dyDescent="0.25">
      <c r="A68">
        <v>4</v>
      </c>
      <c r="B68" t="s">
        <v>339</v>
      </c>
      <c r="C68" t="s">
        <v>183</v>
      </c>
      <c r="D68" t="s">
        <v>84</v>
      </c>
      <c r="E68" t="str">
        <f>IF(StatusBranchGrade[[#This Row],[Status]] = "CYS", "DoD", StatusBranchGrade[[#This Row],[Rank]] &amp; "")</f>
        <v>O-8</v>
      </c>
      <c r="F68" t="s">
        <v>84</v>
      </c>
      <c r="G68" t="str">
        <f>IF(StatusBranchGrade[[#This Row],[Rank]] = StatusBranchGrade[[#This Row],[Grade]], StatusBranchGrade[[#This Row],[Rank]], StatusBranchGrade[[#This Row],[Grade]] &amp; "/" &amp; StatusBranchGrade[[#This Row],[Rank]]) &amp; ""</f>
        <v>O-8</v>
      </c>
      <c r="H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O-8</v>
      </c>
      <c r="I68" s="17" t="str">
        <f>SUBSTITUTE(SUBSTITUTE(SUBSTITUTE(StatusBranchGrade[[#This Row],[Status]] &amp; "  /  " &amp; StatusBranchGrade[[#This Row],[Branch]] &amp; ";", "  /  ;", ";"), "  /  ;", ";"), ";", "")</f>
        <v>Wounded Warrior--GC-approved  /  Air Force</v>
      </c>
      <c r="J68">
        <v>12</v>
      </c>
      <c r="K68" s="17" t="str">
        <f>IF(LEFT(StatusBranchGrade[[#This Row],[Which]], 1) = "1", StatusBranchGrade[[#This Row],[Key]], "")</f>
        <v>Wounded Warrior--GC-approved  /  Air Force  /  O-8</v>
      </c>
      <c r="L68" s="17" t="str">
        <f>IF(LEFT(StatusBranchGrade[[#This Row],[Which]], 1) = "1", StatusBranchGrade[[#This Row],[Key0]], "")</f>
        <v>Wounded Warrior--GC-approved  /  Air Force</v>
      </c>
      <c r="M68" s="17" t="str">
        <f>IF(RIGHT(StatusBranchGrade[[#This Row],[Which]], 1) = "2", StatusBranchGrade[[#This Row],[Key]], "")</f>
        <v>Wounded Warrior--GC-approved  /  Air Force  /  O-8</v>
      </c>
      <c r="N68" s="17" t="str">
        <f>IF(RIGHT(StatusBranchGrade[[#This Row],[Which]], 1) = "2", StatusBranchGrade[[#This Row],[Key0]], "")</f>
        <v>Wounded Warrior--GC-approved  /  Air Force</v>
      </c>
      <c r="O68" s="17" t="s">
        <v>299</v>
      </c>
      <c r="P68" s="17"/>
      <c r="Q68" s="63">
        <f>--ISNUMBER(IF(StatusBranchGrade[[#This Row],[Sponsor0]] = 'Calculation Worksheet'!$AV$6 &amp; "  /  " &amp; 'Calculation Worksheet'!$AV$7, 1, ""))</f>
        <v>0</v>
      </c>
      <c r="R68" s="63" t="str">
        <f>IF(StatusBranchGrade[[#This Row],[S1]] = 1, COUNTIF($Q$3:Q68, 1), "")</f>
        <v/>
      </c>
      <c r="S68" s="63" t="str">
        <f>IFERROR(INDEX(StatusBranchGrade[Rank/Grade], MATCH(ROWS($R$3:R68)-1, StatusBranchGrade[S2], 0)), "") &amp; ""</f>
        <v/>
      </c>
      <c r="T68" s="63">
        <f>--ISNUMBER(IF(StatusBranchGrade[[#This Row],[Spouse0]] = 'Calculation Worksheet'!$CG$6 &amp; "  /  " &amp; 'Calculation Worksheet'!$CG$7, 1, ""))</f>
        <v>0</v>
      </c>
      <c r="U68" s="63" t="str">
        <f>IF(StatusBranchGrade[[#This Row],[T1]] = 1, COUNTIF($T$3:T68, 1), "")</f>
        <v/>
      </c>
      <c r="V68" s="63" t="str">
        <f>IFERROR(INDEX(StatusBranchGrade[Rank/Grade], MATCH(ROWS($U$3:U68)-1, StatusBranchGrade[T2], 0)), "") &amp; ""</f>
        <v/>
      </c>
      <c r="W68" s="63"/>
    </row>
    <row r="69" spans="1:23" x14ac:dyDescent="0.25">
      <c r="A69">
        <v>4</v>
      </c>
      <c r="B69" t="s">
        <v>339</v>
      </c>
      <c r="C69" t="s">
        <v>183</v>
      </c>
      <c r="D69" t="s">
        <v>83</v>
      </c>
      <c r="E69" t="str">
        <f>IF(StatusBranchGrade[[#This Row],[Status]] = "CYS", "DoD", StatusBranchGrade[[#This Row],[Rank]] &amp; "")</f>
        <v>O-9</v>
      </c>
      <c r="F69" t="s">
        <v>83</v>
      </c>
      <c r="G69" t="str">
        <f>IF(StatusBranchGrade[[#This Row],[Rank]] = StatusBranchGrade[[#This Row],[Grade]], StatusBranchGrade[[#This Row],[Rank]], StatusBranchGrade[[#This Row],[Grade]] &amp; "/" &amp; StatusBranchGrade[[#This Row],[Rank]]) &amp; ""</f>
        <v>O-9</v>
      </c>
      <c r="H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O-9</v>
      </c>
      <c r="I69" s="17" t="str">
        <f>SUBSTITUTE(SUBSTITUTE(SUBSTITUTE(StatusBranchGrade[[#This Row],[Status]] &amp; "  /  " &amp; StatusBranchGrade[[#This Row],[Branch]] &amp; ";", "  /  ;", ";"), "  /  ;", ";"), ";", "")</f>
        <v>Wounded Warrior--GC-approved  /  Air Force</v>
      </c>
      <c r="J69">
        <v>12</v>
      </c>
      <c r="K69" s="17" t="str">
        <f>IF(LEFT(StatusBranchGrade[[#This Row],[Which]], 1) = "1", StatusBranchGrade[[#This Row],[Key]], "")</f>
        <v>Wounded Warrior--GC-approved  /  Air Force  /  O-9</v>
      </c>
      <c r="L69" s="17" t="str">
        <f>IF(LEFT(StatusBranchGrade[[#This Row],[Which]], 1) = "1", StatusBranchGrade[[#This Row],[Key0]], "")</f>
        <v>Wounded Warrior--GC-approved  /  Air Force</v>
      </c>
      <c r="M69" s="17" t="str">
        <f>IF(RIGHT(StatusBranchGrade[[#This Row],[Which]], 1) = "2", StatusBranchGrade[[#This Row],[Key]], "")</f>
        <v>Wounded Warrior--GC-approved  /  Air Force  /  O-9</v>
      </c>
      <c r="N69" s="17" t="str">
        <f>IF(RIGHT(StatusBranchGrade[[#This Row],[Which]], 1) = "2", StatusBranchGrade[[#This Row],[Key0]], "")</f>
        <v>Wounded Warrior--GC-approved  /  Air Force</v>
      </c>
      <c r="O69" s="17" t="s">
        <v>299</v>
      </c>
      <c r="P69" s="17"/>
      <c r="Q69" s="63">
        <f>--ISNUMBER(IF(StatusBranchGrade[[#This Row],[Sponsor0]] = 'Calculation Worksheet'!$AV$6 &amp; "  /  " &amp; 'Calculation Worksheet'!$AV$7, 1, ""))</f>
        <v>0</v>
      </c>
      <c r="R69" s="63" t="str">
        <f>IF(StatusBranchGrade[[#This Row],[S1]] = 1, COUNTIF($Q$3:Q69, 1), "")</f>
        <v/>
      </c>
      <c r="S69" s="63" t="str">
        <f>IFERROR(INDEX(StatusBranchGrade[Rank/Grade], MATCH(ROWS($R$3:R69)-1, StatusBranchGrade[S2], 0)), "") &amp; ""</f>
        <v/>
      </c>
      <c r="T69" s="63">
        <f>--ISNUMBER(IF(StatusBranchGrade[[#This Row],[Spouse0]] = 'Calculation Worksheet'!$CG$6 &amp; "  /  " &amp; 'Calculation Worksheet'!$CG$7, 1, ""))</f>
        <v>0</v>
      </c>
      <c r="U69" s="63" t="str">
        <f>IF(StatusBranchGrade[[#This Row],[T1]] = 1, COUNTIF($T$3:T69, 1), "")</f>
        <v/>
      </c>
      <c r="V69" s="63" t="str">
        <f>IFERROR(INDEX(StatusBranchGrade[Rank/Grade], MATCH(ROWS($U$3:U69)-1, StatusBranchGrade[T2], 0)), "") &amp; ""</f>
        <v/>
      </c>
      <c r="W69" s="63"/>
    </row>
    <row r="70" spans="1:23" x14ac:dyDescent="0.25">
      <c r="A70">
        <v>4</v>
      </c>
      <c r="B70" t="s">
        <v>339</v>
      </c>
      <c r="C70" t="s">
        <v>183</v>
      </c>
      <c r="D70" t="s">
        <v>96</v>
      </c>
      <c r="E70" t="str">
        <f>IF(StatusBranchGrade[[#This Row],[Status]] = "CYS", "DoD", StatusBranchGrade[[#This Row],[Rank]] &amp; "")</f>
        <v>W-1</v>
      </c>
      <c r="F70" t="s">
        <v>96</v>
      </c>
      <c r="G70" t="str">
        <f>IF(StatusBranchGrade[[#This Row],[Rank]] = StatusBranchGrade[[#This Row],[Grade]], StatusBranchGrade[[#This Row],[Rank]], StatusBranchGrade[[#This Row],[Grade]] &amp; "/" &amp; StatusBranchGrade[[#This Row],[Rank]]) &amp; ""</f>
        <v>W-1</v>
      </c>
      <c r="H7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W-1</v>
      </c>
      <c r="I70" s="17" t="str">
        <f>SUBSTITUTE(SUBSTITUTE(SUBSTITUTE(StatusBranchGrade[[#This Row],[Status]] &amp; "  /  " &amp; StatusBranchGrade[[#This Row],[Branch]] &amp; ";", "  /  ;", ";"), "  /  ;", ";"), ";", "")</f>
        <v>Wounded Warrior--GC-approved  /  Air Force</v>
      </c>
      <c r="J70">
        <v>12</v>
      </c>
      <c r="K70" s="17" t="str">
        <f>IF(LEFT(StatusBranchGrade[[#This Row],[Which]], 1) = "1", StatusBranchGrade[[#This Row],[Key]], "")</f>
        <v>Wounded Warrior--GC-approved  /  Air Force  /  W-1</v>
      </c>
      <c r="L70" s="17" t="str">
        <f>IF(LEFT(StatusBranchGrade[[#This Row],[Which]], 1) = "1", StatusBranchGrade[[#This Row],[Key0]], "")</f>
        <v>Wounded Warrior--GC-approved  /  Air Force</v>
      </c>
      <c r="M70" s="17" t="str">
        <f>IF(RIGHT(StatusBranchGrade[[#This Row],[Which]], 1) = "2", StatusBranchGrade[[#This Row],[Key]], "")</f>
        <v>Wounded Warrior--GC-approved  /  Air Force  /  W-1</v>
      </c>
      <c r="N70" s="17" t="str">
        <f>IF(RIGHT(StatusBranchGrade[[#This Row],[Which]], 1) = "2", StatusBranchGrade[[#This Row],[Key0]], "")</f>
        <v>Wounded Warrior--GC-approved  /  Air Force</v>
      </c>
      <c r="O70" s="17" t="s">
        <v>299</v>
      </c>
      <c r="P70" s="17"/>
      <c r="Q70" s="63">
        <f>--ISNUMBER(IF(StatusBranchGrade[[#This Row],[Sponsor0]] = 'Calculation Worksheet'!$AV$6 &amp; "  /  " &amp; 'Calculation Worksheet'!$AV$7, 1, ""))</f>
        <v>0</v>
      </c>
      <c r="R70" s="63" t="str">
        <f>IF(StatusBranchGrade[[#This Row],[S1]] = 1, COUNTIF($Q$3:Q70, 1), "")</f>
        <v/>
      </c>
      <c r="S70" s="63" t="str">
        <f>IFERROR(INDEX(StatusBranchGrade[Rank/Grade], MATCH(ROWS($R$3:R70)-1, StatusBranchGrade[S2], 0)), "") &amp; ""</f>
        <v/>
      </c>
      <c r="T70" s="63">
        <f>--ISNUMBER(IF(StatusBranchGrade[[#This Row],[Spouse0]] = 'Calculation Worksheet'!$CG$6 &amp; "  /  " &amp; 'Calculation Worksheet'!$CG$7, 1, ""))</f>
        <v>0</v>
      </c>
      <c r="U70" s="63" t="str">
        <f>IF(StatusBranchGrade[[#This Row],[T1]] = 1, COUNTIF($T$3:T70, 1), "")</f>
        <v/>
      </c>
      <c r="V70" s="63" t="str">
        <f>IFERROR(INDEX(StatusBranchGrade[Rank/Grade], MATCH(ROWS($U$3:U70)-1, StatusBranchGrade[T2], 0)), "") &amp; ""</f>
        <v/>
      </c>
      <c r="W70" s="63"/>
    </row>
    <row r="71" spans="1:23" x14ac:dyDescent="0.25">
      <c r="A71">
        <v>4</v>
      </c>
      <c r="B71" t="s">
        <v>339</v>
      </c>
      <c r="C71" t="s">
        <v>183</v>
      </c>
      <c r="D71" t="s">
        <v>95</v>
      </c>
      <c r="E71" t="str">
        <f>IF(StatusBranchGrade[[#This Row],[Status]] = "CYS", "DoD", StatusBranchGrade[[#This Row],[Rank]] &amp; "")</f>
        <v>W-2</v>
      </c>
      <c r="F71" t="s">
        <v>95</v>
      </c>
      <c r="G71" t="str">
        <f>IF(StatusBranchGrade[[#This Row],[Rank]] = StatusBranchGrade[[#This Row],[Grade]], StatusBranchGrade[[#This Row],[Rank]], StatusBranchGrade[[#This Row],[Grade]] &amp; "/" &amp; StatusBranchGrade[[#This Row],[Rank]]) &amp; ""</f>
        <v>W-2</v>
      </c>
      <c r="H7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W-2</v>
      </c>
      <c r="I71" s="17" t="str">
        <f>SUBSTITUTE(SUBSTITUTE(SUBSTITUTE(StatusBranchGrade[[#This Row],[Status]] &amp; "  /  " &amp; StatusBranchGrade[[#This Row],[Branch]] &amp; ";", "  /  ;", ";"), "  /  ;", ";"), ";", "")</f>
        <v>Wounded Warrior--GC-approved  /  Air Force</v>
      </c>
      <c r="J71">
        <v>12</v>
      </c>
      <c r="K71" s="17" t="str">
        <f>IF(LEFT(StatusBranchGrade[[#This Row],[Which]], 1) = "1", StatusBranchGrade[[#This Row],[Key]], "")</f>
        <v>Wounded Warrior--GC-approved  /  Air Force  /  W-2</v>
      </c>
      <c r="L71" s="17" t="str">
        <f>IF(LEFT(StatusBranchGrade[[#This Row],[Which]], 1) = "1", StatusBranchGrade[[#This Row],[Key0]], "")</f>
        <v>Wounded Warrior--GC-approved  /  Air Force</v>
      </c>
      <c r="M71" s="17" t="str">
        <f>IF(RIGHT(StatusBranchGrade[[#This Row],[Which]], 1) = "2", StatusBranchGrade[[#This Row],[Key]], "")</f>
        <v>Wounded Warrior--GC-approved  /  Air Force  /  W-2</v>
      </c>
      <c r="N71" s="17" t="str">
        <f>IF(RIGHT(StatusBranchGrade[[#This Row],[Which]], 1) = "2", StatusBranchGrade[[#This Row],[Key0]], "")</f>
        <v>Wounded Warrior--GC-approved  /  Air Force</v>
      </c>
      <c r="O71" s="17" t="s">
        <v>299</v>
      </c>
      <c r="P71" s="17"/>
      <c r="Q71" s="63">
        <f>--ISNUMBER(IF(StatusBranchGrade[[#This Row],[Sponsor0]] = 'Calculation Worksheet'!$AV$6 &amp; "  /  " &amp; 'Calculation Worksheet'!$AV$7, 1, ""))</f>
        <v>0</v>
      </c>
      <c r="R71" s="63" t="str">
        <f>IF(StatusBranchGrade[[#This Row],[S1]] = 1, COUNTIF($Q$3:Q71, 1), "")</f>
        <v/>
      </c>
      <c r="S71" s="63" t="str">
        <f>IFERROR(INDEX(StatusBranchGrade[Rank/Grade], MATCH(ROWS($R$3:R71)-1, StatusBranchGrade[S2], 0)), "") &amp; ""</f>
        <v/>
      </c>
      <c r="T71" s="63">
        <f>--ISNUMBER(IF(StatusBranchGrade[[#This Row],[Spouse0]] = 'Calculation Worksheet'!$CG$6 &amp; "  /  " &amp; 'Calculation Worksheet'!$CG$7, 1, ""))</f>
        <v>0</v>
      </c>
      <c r="U71" s="63" t="str">
        <f>IF(StatusBranchGrade[[#This Row],[T1]] = 1, COUNTIF($T$3:T71, 1), "")</f>
        <v/>
      </c>
      <c r="V71" s="63" t="str">
        <f>IFERROR(INDEX(StatusBranchGrade[Rank/Grade], MATCH(ROWS($U$3:U71)-1, StatusBranchGrade[T2], 0)), "") &amp; ""</f>
        <v/>
      </c>
      <c r="W71" s="63"/>
    </row>
    <row r="72" spans="1:23" x14ac:dyDescent="0.25">
      <c r="A72">
        <v>4</v>
      </c>
      <c r="B72" t="s">
        <v>339</v>
      </c>
      <c r="C72" t="s">
        <v>183</v>
      </c>
      <c r="D72" t="s">
        <v>94</v>
      </c>
      <c r="E72" t="str">
        <f>IF(StatusBranchGrade[[#This Row],[Status]] = "CYS", "DoD", StatusBranchGrade[[#This Row],[Rank]] &amp; "")</f>
        <v>W-3</v>
      </c>
      <c r="F72" t="s">
        <v>94</v>
      </c>
      <c r="G72" t="str">
        <f>IF(StatusBranchGrade[[#This Row],[Rank]] = StatusBranchGrade[[#This Row],[Grade]], StatusBranchGrade[[#This Row],[Rank]], StatusBranchGrade[[#This Row],[Grade]] &amp; "/" &amp; StatusBranchGrade[[#This Row],[Rank]]) &amp; ""</f>
        <v>W-3</v>
      </c>
      <c r="H7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W-3</v>
      </c>
      <c r="I72" s="17" t="str">
        <f>SUBSTITUTE(SUBSTITUTE(SUBSTITUTE(StatusBranchGrade[[#This Row],[Status]] &amp; "  /  " &amp; StatusBranchGrade[[#This Row],[Branch]] &amp; ";", "  /  ;", ";"), "  /  ;", ";"), ";", "")</f>
        <v>Wounded Warrior--GC-approved  /  Air Force</v>
      </c>
      <c r="J72">
        <v>12</v>
      </c>
      <c r="K72" s="17" t="str">
        <f>IF(LEFT(StatusBranchGrade[[#This Row],[Which]], 1) = "1", StatusBranchGrade[[#This Row],[Key]], "")</f>
        <v>Wounded Warrior--GC-approved  /  Air Force  /  W-3</v>
      </c>
      <c r="L72" s="17" t="str">
        <f>IF(LEFT(StatusBranchGrade[[#This Row],[Which]], 1) = "1", StatusBranchGrade[[#This Row],[Key0]], "")</f>
        <v>Wounded Warrior--GC-approved  /  Air Force</v>
      </c>
      <c r="M72" s="17" t="str">
        <f>IF(RIGHT(StatusBranchGrade[[#This Row],[Which]], 1) = "2", StatusBranchGrade[[#This Row],[Key]], "")</f>
        <v>Wounded Warrior--GC-approved  /  Air Force  /  W-3</v>
      </c>
      <c r="N72" s="17" t="str">
        <f>IF(RIGHT(StatusBranchGrade[[#This Row],[Which]], 1) = "2", StatusBranchGrade[[#This Row],[Key0]], "")</f>
        <v>Wounded Warrior--GC-approved  /  Air Force</v>
      </c>
      <c r="O72" s="17" t="s">
        <v>299</v>
      </c>
      <c r="P72" s="17"/>
      <c r="Q72" s="63">
        <f>--ISNUMBER(IF(StatusBranchGrade[[#This Row],[Sponsor0]] = 'Calculation Worksheet'!$AV$6 &amp; "  /  " &amp; 'Calculation Worksheet'!$AV$7, 1, ""))</f>
        <v>0</v>
      </c>
      <c r="R72" s="63" t="str">
        <f>IF(StatusBranchGrade[[#This Row],[S1]] = 1, COUNTIF($Q$3:Q72, 1), "")</f>
        <v/>
      </c>
      <c r="S72" s="63" t="str">
        <f>IFERROR(INDEX(StatusBranchGrade[Rank/Grade], MATCH(ROWS($R$3:R72)-1, StatusBranchGrade[S2], 0)), "") &amp; ""</f>
        <v/>
      </c>
      <c r="T72" s="63">
        <f>--ISNUMBER(IF(StatusBranchGrade[[#This Row],[Spouse0]] = 'Calculation Worksheet'!$CG$6 &amp; "  /  " &amp; 'Calculation Worksheet'!$CG$7, 1, ""))</f>
        <v>0</v>
      </c>
      <c r="U72" s="63" t="str">
        <f>IF(StatusBranchGrade[[#This Row],[T1]] = 1, COUNTIF($T$3:T72, 1), "")</f>
        <v/>
      </c>
      <c r="V72" s="63" t="str">
        <f>IFERROR(INDEX(StatusBranchGrade[Rank/Grade], MATCH(ROWS($U$3:U72)-1, StatusBranchGrade[T2], 0)), "") &amp; ""</f>
        <v/>
      </c>
      <c r="W72" s="63"/>
    </row>
    <row r="73" spans="1:23" x14ac:dyDescent="0.25">
      <c r="A73">
        <v>4</v>
      </c>
      <c r="B73" t="s">
        <v>339</v>
      </c>
      <c r="C73" t="s">
        <v>183</v>
      </c>
      <c r="D73" t="s">
        <v>93</v>
      </c>
      <c r="E73" t="str">
        <f>IF(StatusBranchGrade[[#This Row],[Status]] = "CYS", "DoD", StatusBranchGrade[[#This Row],[Rank]] &amp; "")</f>
        <v>W-4</v>
      </c>
      <c r="F73" t="s">
        <v>93</v>
      </c>
      <c r="G73" t="str">
        <f>IF(StatusBranchGrade[[#This Row],[Rank]] = StatusBranchGrade[[#This Row],[Grade]], StatusBranchGrade[[#This Row],[Rank]], StatusBranchGrade[[#This Row],[Grade]] &amp; "/" &amp; StatusBranchGrade[[#This Row],[Rank]]) &amp; ""</f>
        <v>W-4</v>
      </c>
      <c r="H7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Air Force  /  W-4</v>
      </c>
      <c r="I73" s="17" t="str">
        <f>SUBSTITUTE(SUBSTITUTE(SUBSTITUTE(StatusBranchGrade[[#This Row],[Status]] &amp; "  /  " &amp; StatusBranchGrade[[#This Row],[Branch]] &amp; ";", "  /  ;", ";"), "  /  ;", ";"), ";", "")</f>
        <v>Wounded Warrior--GC-approved  /  Air Force</v>
      </c>
      <c r="J73">
        <v>12</v>
      </c>
      <c r="K73" s="17" t="str">
        <f>IF(LEFT(StatusBranchGrade[[#This Row],[Which]], 1) = "1", StatusBranchGrade[[#This Row],[Key]], "")</f>
        <v>Wounded Warrior--GC-approved  /  Air Force  /  W-4</v>
      </c>
      <c r="L73" s="17" t="str">
        <f>IF(LEFT(StatusBranchGrade[[#This Row],[Which]], 1) = "1", StatusBranchGrade[[#This Row],[Key0]], "")</f>
        <v>Wounded Warrior--GC-approved  /  Air Force</v>
      </c>
      <c r="M73" s="17" t="str">
        <f>IF(RIGHT(StatusBranchGrade[[#This Row],[Which]], 1) = "2", StatusBranchGrade[[#This Row],[Key]], "")</f>
        <v>Wounded Warrior--GC-approved  /  Air Force  /  W-4</v>
      </c>
      <c r="N73" s="17" t="str">
        <f>IF(RIGHT(StatusBranchGrade[[#This Row],[Which]], 1) = "2", StatusBranchGrade[[#This Row],[Key0]], "")</f>
        <v>Wounded Warrior--GC-approved  /  Air Force</v>
      </c>
      <c r="O73" s="17" t="s">
        <v>299</v>
      </c>
      <c r="P73" s="17"/>
      <c r="Q73" s="63">
        <f>--ISNUMBER(IF(StatusBranchGrade[[#This Row],[Sponsor0]] = 'Calculation Worksheet'!$AV$6 &amp; "  /  " &amp; 'Calculation Worksheet'!$AV$7, 1, ""))</f>
        <v>0</v>
      </c>
      <c r="R73" s="63" t="str">
        <f>IF(StatusBranchGrade[[#This Row],[S1]] = 1, COUNTIF($Q$3:Q73, 1), "")</f>
        <v/>
      </c>
      <c r="S73" s="63" t="str">
        <f>IFERROR(INDEX(StatusBranchGrade[Rank/Grade], MATCH(ROWS($R$3:R73)-1, StatusBranchGrade[S2], 0)), "") &amp; ""</f>
        <v/>
      </c>
      <c r="T73" s="63">
        <f>--ISNUMBER(IF(StatusBranchGrade[[#This Row],[Spouse0]] = 'Calculation Worksheet'!$CG$6 &amp; "  /  " &amp; 'Calculation Worksheet'!$CG$7, 1, ""))</f>
        <v>0</v>
      </c>
      <c r="U73" s="63" t="str">
        <f>IF(StatusBranchGrade[[#This Row],[T1]] = 1, COUNTIF($T$3:T73, 1), "")</f>
        <v/>
      </c>
      <c r="V73" s="63" t="str">
        <f>IFERROR(INDEX(StatusBranchGrade[Rank/Grade], MATCH(ROWS($U$3:U73)-1, StatusBranchGrade[T2], 0)), "") &amp; ""</f>
        <v/>
      </c>
      <c r="W73" s="63"/>
    </row>
    <row r="74" spans="1:23" x14ac:dyDescent="0.25">
      <c r="A74">
        <v>4</v>
      </c>
      <c r="B74" t="s">
        <v>339</v>
      </c>
      <c r="C74" t="s">
        <v>180</v>
      </c>
      <c r="D74" t="s">
        <v>95</v>
      </c>
      <c r="E74" t="str">
        <f>IF(StatusBranchGrade[[#This Row],[Status]] = "CYS", "DoD", StatusBranchGrade[[#This Row],[Rank]] &amp; "")</f>
        <v>W-2</v>
      </c>
      <c r="F74" t="s">
        <v>174</v>
      </c>
      <c r="G74" t="str">
        <f>IF(StatusBranchGrade[[#This Row],[Rank]] = StatusBranchGrade[[#This Row],[Grade]], StatusBranchGrade[[#This Row],[Rank]], StatusBranchGrade[[#This Row],[Grade]] &amp; "/" &amp; StatusBranchGrade[[#This Row],[Rank]]) &amp; ""</f>
        <v>CW2/W-2</v>
      </c>
      <c r="H7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CW2/W-2</v>
      </c>
      <c r="I74" s="17" t="str">
        <f>SUBSTITUTE(SUBSTITUTE(SUBSTITUTE(StatusBranchGrade[[#This Row],[Status]] &amp; "  /  " &amp; StatusBranchGrade[[#This Row],[Branch]] &amp; ";", "  /  ;", ";"), "  /  ;", ";"), ";", "")</f>
        <v>Wounded Warrior--GC-approved  /  Army</v>
      </c>
      <c r="J74">
        <v>12</v>
      </c>
      <c r="K74" s="17" t="str">
        <f>IF(LEFT(StatusBranchGrade[[#This Row],[Which]], 1) = "1", StatusBranchGrade[[#This Row],[Key]], "")</f>
        <v>Wounded Warrior--GC-approved  /  Army  /  CW2/W-2</v>
      </c>
      <c r="L74" s="17" t="str">
        <f>IF(LEFT(StatusBranchGrade[[#This Row],[Which]], 1) = "1", StatusBranchGrade[[#This Row],[Key0]], "")</f>
        <v>Wounded Warrior--GC-approved  /  Army</v>
      </c>
      <c r="M74" s="17" t="str">
        <f>IF(RIGHT(StatusBranchGrade[[#This Row],[Which]], 1) = "2", StatusBranchGrade[[#This Row],[Key]], "")</f>
        <v>Wounded Warrior--GC-approved  /  Army  /  CW2/W-2</v>
      </c>
      <c r="N74" s="17" t="str">
        <f>IF(RIGHT(StatusBranchGrade[[#This Row],[Which]], 1) = "2", StatusBranchGrade[[#This Row],[Key0]], "")</f>
        <v>Wounded Warrior--GC-approved  /  Army</v>
      </c>
      <c r="O74" s="17" t="s">
        <v>299</v>
      </c>
      <c r="P74" s="17"/>
      <c r="Q74" s="63">
        <f>--ISNUMBER(IF(StatusBranchGrade[[#This Row],[Sponsor0]] = 'Calculation Worksheet'!$AV$6 &amp; "  /  " &amp; 'Calculation Worksheet'!$AV$7, 1, ""))</f>
        <v>0</v>
      </c>
      <c r="R74" s="63" t="str">
        <f>IF(StatusBranchGrade[[#This Row],[S1]] = 1, COUNTIF($Q$3:Q74, 1), "")</f>
        <v/>
      </c>
      <c r="S74" s="63" t="str">
        <f>IFERROR(INDEX(StatusBranchGrade[Rank/Grade], MATCH(ROWS($R$3:R74)-1, StatusBranchGrade[S2], 0)), "") &amp; ""</f>
        <v/>
      </c>
      <c r="T74" s="63">
        <f>--ISNUMBER(IF(StatusBranchGrade[[#This Row],[Spouse0]] = 'Calculation Worksheet'!$CG$6 &amp; "  /  " &amp; 'Calculation Worksheet'!$CG$7, 1, ""))</f>
        <v>0</v>
      </c>
      <c r="U74" s="63" t="str">
        <f>IF(StatusBranchGrade[[#This Row],[T1]] = 1, COUNTIF($T$3:T74, 1), "")</f>
        <v/>
      </c>
      <c r="V74" s="63" t="str">
        <f>IFERROR(INDEX(StatusBranchGrade[Rank/Grade], MATCH(ROWS($U$3:U74)-1, StatusBranchGrade[T2], 0)), "") &amp; ""</f>
        <v/>
      </c>
      <c r="W74" s="63"/>
    </row>
    <row r="75" spans="1:23" x14ac:dyDescent="0.25">
      <c r="A75">
        <v>4</v>
      </c>
      <c r="B75" t="s">
        <v>339</v>
      </c>
      <c r="C75" t="s">
        <v>180</v>
      </c>
      <c r="D75" t="s">
        <v>94</v>
      </c>
      <c r="E75" t="str">
        <f>IF(StatusBranchGrade[[#This Row],[Status]] = "CYS", "DoD", StatusBranchGrade[[#This Row],[Rank]] &amp; "")</f>
        <v>W-3</v>
      </c>
      <c r="F75" t="s">
        <v>175</v>
      </c>
      <c r="G75" t="str">
        <f>IF(StatusBranchGrade[[#This Row],[Rank]] = StatusBranchGrade[[#This Row],[Grade]], StatusBranchGrade[[#This Row],[Rank]], StatusBranchGrade[[#This Row],[Grade]] &amp; "/" &amp; StatusBranchGrade[[#This Row],[Rank]]) &amp; ""</f>
        <v>CW3/W-3</v>
      </c>
      <c r="H7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CW3/W-3</v>
      </c>
      <c r="I75" s="17" t="str">
        <f>SUBSTITUTE(SUBSTITUTE(SUBSTITUTE(StatusBranchGrade[[#This Row],[Status]] &amp; "  /  " &amp; StatusBranchGrade[[#This Row],[Branch]] &amp; ";", "  /  ;", ";"), "  /  ;", ";"), ";", "")</f>
        <v>Wounded Warrior--GC-approved  /  Army</v>
      </c>
      <c r="J75">
        <v>12</v>
      </c>
      <c r="K75" s="17" t="str">
        <f>IF(LEFT(StatusBranchGrade[[#This Row],[Which]], 1) = "1", StatusBranchGrade[[#This Row],[Key]], "")</f>
        <v>Wounded Warrior--GC-approved  /  Army  /  CW3/W-3</v>
      </c>
      <c r="L75" s="17" t="str">
        <f>IF(LEFT(StatusBranchGrade[[#This Row],[Which]], 1) = "1", StatusBranchGrade[[#This Row],[Key0]], "")</f>
        <v>Wounded Warrior--GC-approved  /  Army</v>
      </c>
      <c r="M75" s="17" t="str">
        <f>IF(RIGHT(StatusBranchGrade[[#This Row],[Which]], 1) = "2", StatusBranchGrade[[#This Row],[Key]], "")</f>
        <v>Wounded Warrior--GC-approved  /  Army  /  CW3/W-3</v>
      </c>
      <c r="N75" s="17" t="str">
        <f>IF(RIGHT(StatusBranchGrade[[#This Row],[Which]], 1) = "2", StatusBranchGrade[[#This Row],[Key0]], "")</f>
        <v>Wounded Warrior--GC-approved  /  Army</v>
      </c>
      <c r="O75" s="17" t="s">
        <v>299</v>
      </c>
      <c r="P75" s="17"/>
      <c r="Q75" s="63">
        <f>--ISNUMBER(IF(StatusBranchGrade[[#This Row],[Sponsor0]] = 'Calculation Worksheet'!$AV$6 &amp; "  /  " &amp; 'Calculation Worksheet'!$AV$7, 1, ""))</f>
        <v>0</v>
      </c>
      <c r="R75" s="63" t="str">
        <f>IF(StatusBranchGrade[[#This Row],[S1]] = 1, COUNTIF($Q$3:Q75, 1), "")</f>
        <v/>
      </c>
      <c r="S75" s="63" t="str">
        <f>IFERROR(INDEX(StatusBranchGrade[Rank/Grade], MATCH(ROWS($R$3:R75)-1, StatusBranchGrade[S2], 0)), "") &amp; ""</f>
        <v/>
      </c>
      <c r="T75" s="63">
        <f>--ISNUMBER(IF(StatusBranchGrade[[#This Row],[Spouse0]] = 'Calculation Worksheet'!$CG$6 &amp; "  /  " &amp; 'Calculation Worksheet'!$CG$7, 1, ""))</f>
        <v>0</v>
      </c>
      <c r="U75" s="63" t="str">
        <f>IF(StatusBranchGrade[[#This Row],[T1]] = 1, COUNTIF($T$3:T75, 1), "")</f>
        <v/>
      </c>
      <c r="V75" s="63" t="str">
        <f>IFERROR(INDEX(StatusBranchGrade[Rank/Grade], MATCH(ROWS($U$3:U75)-1, StatusBranchGrade[T2], 0)), "") &amp; ""</f>
        <v/>
      </c>
      <c r="W75" s="63"/>
    </row>
    <row r="76" spans="1:23" x14ac:dyDescent="0.25">
      <c r="A76">
        <v>4</v>
      </c>
      <c r="B76" t="s">
        <v>339</v>
      </c>
      <c r="C76" t="s">
        <v>180</v>
      </c>
      <c r="D76" t="s">
        <v>93</v>
      </c>
      <c r="E76" t="str">
        <f>IF(StatusBranchGrade[[#This Row],[Status]] = "CYS", "DoD", StatusBranchGrade[[#This Row],[Rank]] &amp; "")</f>
        <v>W-4</v>
      </c>
      <c r="F76" t="s">
        <v>176</v>
      </c>
      <c r="G76" t="str">
        <f>IF(StatusBranchGrade[[#This Row],[Rank]] = StatusBranchGrade[[#This Row],[Grade]], StatusBranchGrade[[#This Row],[Rank]], StatusBranchGrade[[#This Row],[Grade]] &amp; "/" &amp; StatusBranchGrade[[#This Row],[Rank]]) &amp; ""</f>
        <v>CW4/W-4</v>
      </c>
      <c r="H7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CW4/W-4</v>
      </c>
      <c r="I76" s="17" t="str">
        <f>SUBSTITUTE(SUBSTITUTE(SUBSTITUTE(StatusBranchGrade[[#This Row],[Status]] &amp; "  /  " &amp; StatusBranchGrade[[#This Row],[Branch]] &amp; ";", "  /  ;", ";"), "  /  ;", ";"), ";", "")</f>
        <v>Wounded Warrior--GC-approved  /  Army</v>
      </c>
      <c r="J76">
        <v>12</v>
      </c>
      <c r="K76" s="17" t="str">
        <f>IF(LEFT(StatusBranchGrade[[#This Row],[Which]], 1) = "1", StatusBranchGrade[[#This Row],[Key]], "")</f>
        <v>Wounded Warrior--GC-approved  /  Army  /  CW4/W-4</v>
      </c>
      <c r="L76" s="17" t="str">
        <f>IF(LEFT(StatusBranchGrade[[#This Row],[Which]], 1) = "1", StatusBranchGrade[[#This Row],[Key0]], "")</f>
        <v>Wounded Warrior--GC-approved  /  Army</v>
      </c>
      <c r="M76" s="17" t="str">
        <f>IF(RIGHT(StatusBranchGrade[[#This Row],[Which]], 1) = "2", StatusBranchGrade[[#This Row],[Key]], "")</f>
        <v>Wounded Warrior--GC-approved  /  Army  /  CW4/W-4</v>
      </c>
      <c r="N76" s="17" t="str">
        <f>IF(RIGHT(StatusBranchGrade[[#This Row],[Which]], 1) = "2", StatusBranchGrade[[#This Row],[Key0]], "")</f>
        <v>Wounded Warrior--GC-approved  /  Army</v>
      </c>
      <c r="O76" s="17" t="s">
        <v>299</v>
      </c>
      <c r="P76" s="17"/>
      <c r="Q76" s="63">
        <f>--ISNUMBER(IF(StatusBranchGrade[[#This Row],[Sponsor0]] = 'Calculation Worksheet'!$AV$6 &amp; "  /  " &amp; 'Calculation Worksheet'!$AV$7, 1, ""))</f>
        <v>0</v>
      </c>
      <c r="R76" s="63" t="str">
        <f>IF(StatusBranchGrade[[#This Row],[S1]] = 1, COUNTIF($Q$3:Q76, 1), "")</f>
        <v/>
      </c>
      <c r="S76" s="63" t="str">
        <f>IFERROR(INDEX(StatusBranchGrade[Rank/Grade], MATCH(ROWS($R$3:R76)-1, StatusBranchGrade[S2], 0)), "") &amp; ""</f>
        <v/>
      </c>
      <c r="T76" s="63">
        <f>--ISNUMBER(IF(StatusBranchGrade[[#This Row],[Spouse0]] = 'Calculation Worksheet'!$CG$6 &amp; "  /  " &amp; 'Calculation Worksheet'!$CG$7, 1, ""))</f>
        <v>0</v>
      </c>
      <c r="U76" s="63" t="str">
        <f>IF(StatusBranchGrade[[#This Row],[T1]] = 1, COUNTIF($T$3:T76, 1), "")</f>
        <v/>
      </c>
      <c r="V76" s="63" t="str">
        <f>IFERROR(INDEX(StatusBranchGrade[Rank/Grade], MATCH(ROWS($U$3:U76)-1, StatusBranchGrade[T2], 0)), "") &amp; ""</f>
        <v/>
      </c>
      <c r="W76" s="63"/>
    </row>
    <row r="77" spans="1:23" x14ac:dyDescent="0.25">
      <c r="A77">
        <v>4</v>
      </c>
      <c r="B77" t="s">
        <v>339</v>
      </c>
      <c r="C77" t="s">
        <v>180</v>
      </c>
      <c r="D77" t="s">
        <v>92</v>
      </c>
      <c r="E77" t="str">
        <f>IF(StatusBranchGrade[[#This Row],[Status]] = "CYS", "DoD", StatusBranchGrade[[#This Row],[Rank]] &amp; "")</f>
        <v>W-5</v>
      </c>
      <c r="F77" t="s">
        <v>177</v>
      </c>
      <c r="G77" t="str">
        <f>IF(StatusBranchGrade[[#This Row],[Rank]] = StatusBranchGrade[[#This Row],[Grade]], StatusBranchGrade[[#This Row],[Rank]], StatusBranchGrade[[#This Row],[Grade]] &amp; "/" &amp; StatusBranchGrade[[#This Row],[Rank]]) &amp; ""</f>
        <v>CW5/W-5</v>
      </c>
      <c r="H7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CW5/W-5</v>
      </c>
      <c r="I77" s="17" t="str">
        <f>SUBSTITUTE(SUBSTITUTE(SUBSTITUTE(StatusBranchGrade[[#This Row],[Status]] &amp; "  /  " &amp; StatusBranchGrade[[#This Row],[Branch]] &amp; ";", "  /  ;", ";"), "  /  ;", ";"), ";", "")</f>
        <v>Wounded Warrior--GC-approved  /  Army</v>
      </c>
      <c r="J77">
        <v>12</v>
      </c>
      <c r="K77" s="17" t="str">
        <f>IF(LEFT(StatusBranchGrade[[#This Row],[Which]], 1) = "1", StatusBranchGrade[[#This Row],[Key]], "")</f>
        <v>Wounded Warrior--GC-approved  /  Army  /  CW5/W-5</v>
      </c>
      <c r="L77" s="17" t="str">
        <f>IF(LEFT(StatusBranchGrade[[#This Row],[Which]], 1) = "1", StatusBranchGrade[[#This Row],[Key0]], "")</f>
        <v>Wounded Warrior--GC-approved  /  Army</v>
      </c>
      <c r="M77" s="17" t="str">
        <f>IF(RIGHT(StatusBranchGrade[[#This Row],[Which]], 1) = "2", StatusBranchGrade[[#This Row],[Key]], "")</f>
        <v>Wounded Warrior--GC-approved  /  Army  /  CW5/W-5</v>
      </c>
      <c r="N77" s="17" t="str">
        <f>IF(RIGHT(StatusBranchGrade[[#This Row],[Which]], 1) = "2", StatusBranchGrade[[#This Row],[Key0]], "")</f>
        <v>Wounded Warrior--GC-approved  /  Army</v>
      </c>
      <c r="O77" s="17" t="s">
        <v>299</v>
      </c>
      <c r="P77" s="17"/>
      <c r="Q77" s="63">
        <f>--ISNUMBER(IF(StatusBranchGrade[[#This Row],[Sponsor0]] = 'Calculation Worksheet'!$AV$6 &amp; "  /  " &amp; 'Calculation Worksheet'!$AV$7, 1, ""))</f>
        <v>0</v>
      </c>
      <c r="R77" s="63" t="str">
        <f>IF(StatusBranchGrade[[#This Row],[S1]] = 1, COUNTIF($Q$3:Q77, 1), "")</f>
        <v/>
      </c>
      <c r="S77" s="63" t="str">
        <f>IFERROR(INDEX(StatusBranchGrade[Rank/Grade], MATCH(ROWS($R$3:R77)-1, StatusBranchGrade[S2], 0)), "") &amp; ""</f>
        <v/>
      </c>
      <c r="T77" s="63">
        <f>--ISNUMBER(IF(StatusBranchGrade[[#This Row],[Spouse0]] = 'Calculation Worksheet'!$CG$6 &amp; "  /  " &amp; 'Calculation Worksheet'!$CG$7, 1, ""))</f>
        <v>0</v>
      </c>
      <c r="U77" s="63" t="str">
        <f>IF(StatusBranchGrade[[#This Row],[T1]] = 1, COUNTIF($T$3:T77, 1), "")</f>
        <v/>
      </c>
      <c r="V77" s="63" t="str">
        <f>IFERROR(INDEX(StatusBranchGrade[Rank/Grade], MATCH(ROWS($U$3:U77)-1, StatusBranchGrade[T2], 0)), "") &amp; ""</f>
        <v/>
      </c>
      <c r="W77" s="63"/>
    </row>
    <row r="78" spans="1:23" x14ac:dyDescent="0.25">
      <c r="A78">
        <v>4</v>
      </c>
      <c r="B78" t="s">
        <v>339</v>
      </c>
      <c r="C78" t="s">
        <v>180</v>
      </c>
      <c r="D78" t="s">
        <v>105</v>
      </c>
      <c r="E78" t="str">
        <f>IF(StatusBranchGrade[[#This Row],[Status]] = "CYS", "DoD", StatusBranchGrade[[#This Row],[Rank]] &amp; "")</f>
        <v>E-1</v>
      </c>
      <c r="F78" t="s">
        <v>105</v>
      </c>
      <c r="G78" t="str">
        <f>IF(StatusBranchGrade[[#This Row],[Rank]] = StatusBranchGrade[[#This Row],[Grade]], StatusBranchGrade[[#This Row],[Rank]], StatusBranchGrade[[#This Row],[Grade]] &amp; "/" &amp; StatusBranchGrade[[#This Row],[Rank]]) &amp; ""</f>
        <v>E-1</v>
      </c>
      <c r="H7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E-1</v>
      </c>
      <c r="I78" s="17" t="str">
        <f>SUBSTITUTE(SUBSTITUTE(SUBSTITUTE(StatusBranchGrade[[#This Row],[Status]] &amp; "  /  " &amp; StatusBranchGrade[[#This Row],[Branch]] &amp; ";", "  /  ;", ";"), "  /  ;", ";"), ";", "")</f>
        <v>Wounded Warrior--GC-approved  /  Army</v>
      </c>
      <c r="J78">
        <v>12</v>
      </c>
      <c r="K78" s="17" t="str">
        <f>IF(LEFT(StatusBranchGrade[[#This Row],[Which]], 1) = "1", StatusBranchGrade[[#This Row],[Key]], "")</f>
        <v>Wounded Warrior--GC-approved  /  Army  /  E-1</v>
      </c>
      <c r="L78" s="17" t="str">
        <f>IF(LEFT(StatusBranchGrade[[#This Row],[Which]], 1) = "1", StatusBranchGrade[[#This Row],[Key0]], "")</f>
        <v>Wounded Warrior--GC-approved  /  Army</v>
      </c>
      <c r="M78" s="17" t="str">
        <f>IF(RIGHT(StatusBranchGrade[[#This Row],[Which]], 1) = "2", StatusBranchGrade[[#This Row],[Key]], "")</f>
        <v>Wounded Warrior--GC-approved  /  Army  /  E-1</v>
      </c>
      <c r="N78" s="17" t="str">
        <f>IF(RIGHT(StatusBranchGrade[[#This Row],[Which]], 1) = "2", StatusBranchGrade[[#This Row],[Key0]], "")</f>
        <v>Wounded Warrior--GC-approved  /  Army</v>
      </c>
      <c r="O78" s="17" t="s">
        <v>299</v>
      </c>
      <c r="P78" s="17"/>
      <c r="Q78" s="63">
        <f>--ISNUMBER(IF(StatusBranchGrade[[#This Row],[Sponsor0]] = 'Calculation Worksheet'!$AV$6 &amp; "  /  " &amp; 'Calculation Worksheet'!$AV$7, 1, ""))</f>
        <v>0</v>
      </c>
      <c r="R78" s="63" t="str">
        <f>IF(StatusBranchGrade[[#This Row],[S1]] = 1, COUNTIF($Q$3:Q78, 1), "")</f>
        <v/>
      </c>
      <c r="S78" s="63" t="str">
        <f>IFERROR(INDEX(StatusBranchGrade[Rank/Grade], MATCH(ROWS($R$3:R78)-1, StatusBranchGrade[S2], 0)), "") &amp; ""</f>
        <v/>
      </c>
      <c r="T78" s="63">
        <f>--ISNUMBER(IF(StatusBranchGrade[[#This Row],[Spouse0]] = 'Calculation Worksheet'!$CG$6 &amp; "  /  " &amp; 'Calculation Worksheet'!$CG$7, 1, ""))</f>
        <v>0</v>
      </c>
      <c r="U78" s="63" t="str">
        <f>IF(StatusBranchGrade[[#This Row],[T1]] = 1, COUNTIF($T$3:T78, 1), "")</f>
        <v/>
      </c>
      <c r="V78" s="63" t="str">
        <f>IFERROR(INDEX(StatusBranchGrade[Rank/Grade], MATCH(ROWS($U$3:U78)-1, StatusBranchGrade[T2], 0)), "") &amp; ""</f>
        <v/>
      </c>
      <c r="W78" s="63"/>
    </row>
    <row r="79" spans="1:23" x14ac:dyDescent="0.25">
      <c r="A79">
        <v>4</v>
      </c>
      <c r="B79" t="s">
        <v>339</v>
      </c>
      <c r="C79" t="s">
        <v>180</v>
      </c>
      <c r="D79" t="s">
        <v>104</v>
      </c>
      <c r="E79" t="str">
        <f>IF(StatusBranchGrade[[#This Row],[Status]] = "CYS", "DoD", StatusBranchGrade[[#This Row],[Rank]] &amp; "")</f>
        <v>E-2</v>
      </c>
      <c r="F79" t="s">
        <v>104</v>
      </c>
      <c r="G79" t="str">
        <f>IF(StatusBranchGrade[[#This Row],[Rank]] = StatusBranchGrade[[#This Row],[Grade]], StatusBranchGrade[[#This Row],[Rank]], StatusBranchGrade[[#This Row],[Grade]] &amp; "/" &amp; StatusBranchGrade[[#This Row],[Rank]]) &amp; ""</f>
        <v>E-2</v>
      </c>
      <c r="H7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E-2</v>
      </c>
      <c r="I79" s="17" t="str">
        <f>SUBSTITUTE(SUBSTITUTE(SUBSTITUTE(StatusBranchGrade[[#This Row],[Status]] &amp; "  /  " &amp; StatusBranchGrade[[#This Row],[Branch]] &amp; ";", "  /  ;", ";"), "  /  ;", ";"), ";", "")</f>
        <v>Wounded Warrior--GC-approved  /  Army</v>
      </c>
      <c r="J79">
        <v>12</v>
      </c>
      <c r="K79" s="17" t="str">
        <f>IF(LEFT(StatusBranchGrade[[#This Row],[Which]], 1) = "1", StatusBranchGrade[[#This Row],[Key]], "")</f>
        <v>Wounded Warrior--GC-approved  /  Army  /  E-2</v>
      </c>
      <c r="L79" s="17" t="str">
        <f>IF(LEFT(StatusBranchGrade[[#This Row],[Which]], 1) = "1", StatusBranchGrade[[#This Row],[Key0]], "")</f>
        <v>Wounded Warrior--GC-approved  /  Army</v>
      </c>
      <c r="M79" s="17" t="str">
        <f>IF(RIGHT(StatusBranchGrade[[#This Row],[Which]], 1) = "2", StatusBranchGrade[[#This Row],[Key]], "")</f>
        <v>Wounded Warrior--GC-approved  /  Army  /  E-2</v>
      </c>
      <c r="N79" s="17" t="str">
        <f>IF(RIGHT(StatusBranchGrade[[#This Row],[Which]], 1) = "2", StatusBranchGrade[[#This Row],[Key0]], "")</f>
        <v>Wounded Warrior--GC-approved  /  Army</v>
      </c>
      <c r="O79" s="17" t="s">
        <v>299</v>
      </c>
      <c r="P79" s="17"/>
      <c r="Q79" s="63">
        <f>--ISNUMBER(IF(StatusBranchGrade[[#This Row],[Sponsor0]] = 'Calculation Worksheet'!$AV$6 &amp; "  /  " &amp; 'Calculation Worksheet'!$AV$7, 1, ""))</f>
        <v>0</v>
      </c>
      <c r="R79" s="63" t="str">
        <f>IF(StatusBranchGrade[[#This Row],[S1]] = 1, COUNTIF($Q$3:Q79, 1), "")</f>
        <v/>
      </c>
      <c r="S79" s="63" t="str">
        <f>IFERROR(INDEX(StatusBranchGrade[Rank/Grade], MATCH(ROWS($R$3:R79)-1, StatusBranchGrade[S2], 0)), "") &amp; ""</f>
        <v/>
      </c>
      <c r="T79" s="63">
        <f>--ISNUMBER(IF(StatusBranchGrade[[#This Row],[Spouse0]] = 'Calculation Worksheet'!$CG$6 &amp; "  /  " &amp; 'Calculation Worksheet'!$CG$7, 1, ""))</f>
        <v>0</v>
      </c>
      <c r="U79" s="63" t="str">
        <f>IF(StatusBranchGrade[[#This Row],[T1]] = 1, COUNTIF($T$3:T79, 1), "")</f>
        <v/>
      </c>
      <c r="V79" s="63" t="str">
        <f>IFERROR(INDEX(StatusBranchGrade[Rank/Grade], MATCH(ROWS($U$3:U79)-1, StatusBranchGrade[T2], 0)), "") &amp; ""</f>
        <v/>
      </c>
      <c r="W79" s="63"/>
    </row>
    <row r="80" spans="1:23" x14ac:dyDescent="0.25">
      <c r="A80">
        <v>4</v>
      </c>
      <c r="B80" t="s">
        <v>339</v>
      </c>
      <c r="C80" t="s">
        <v>180</v>
      </c>
      <c r="D80" t="s">
        <v>103</v>
      </c>
      <c r="E80" t="str">
        <f>IF(StatusBranchGrade[[#This Row],[Status]] = "CYS", "DoD", StatusBranchGrade[[#This Row],[Rank]] &amp; "")</f>
        <v>E-3</v>
      </c>
      <c r="F80" t="s">
        <v>103</v>
      </c>
      <c r="G80" t="str">
        <f>IF(StatusBranchGrade[[#This Row],[Rank]] = StatusBranchGrade[[#This Row],[Grade]], StatusBranchGrade[[#This Row],[Rank]], StatusBranchGrade[[#This Row],[Grade]] &amp; "/" &amp; StatusBranchGrade[[#This Row],[Rank]]) &amp; ""</f>
        <v>E-3</v>
      </c>
      <c r="H8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E-3</v>
      </c>
      <c r="I80" s="17" t="str">
        <f>SUBSTITUTE(SUBSTITUTE(SUBSTITUTE(StatusBranchGrade[[#This Row],[Status]] &amp; "  /  " &amp; StatusBranchGrade[[#This Row],[Branch]] &amp; ";", "  /  ;", ";"), "  /  ;", ";"), ";", "")</f>
        <v>Wounded Warrior--GC-approved  /  Army</v>
      </c>
      <c r="J80">
        <v>12</v>
      </c>
      <c r="K80" s="17" t="str">
        <f>IF(LEFT(StatusBranchGrade[[#This Row],[Which]], 1) = "1", StatusBranchGrade[[#This Row],[Key]], "")</f>
        <v>Wounded Warrior--GC-approved  /  Army  /  E-3</v>
      </c>
      <c r="L80" s="17" t="str">
        <f>IF(LEFT(StatusBranchGrade[[#This Row],[Which]], 1) = "1", StatusBranchGrade[[#This Row],[Key0]], "")</f>
        <v>Wounded Warrior--GC-approved  /  Army</v>
      </c>
      <c r="M80" s="17" t="str">
        <f>IF(RIGHT(StatusBranchGrade[[#This Row],[Which]], 1) = "2", StatusBranchGrade[[#This Row],[Key]], "")</f>
        <v>Wounded Warrior--GC-approved  /  Army  /  E-3</v>
      </c>
      <c r="N80" s="17" t="str">
        <f>IF(RIGHT(StatusBranchGrade[[#This Row],[Which]], 1) = "2", StatusBranchGrade[[#This Row],[Key0]], "")</f>
        <v>Wounded Warrior--GC-approved  /  Army</v>
      </c>
      <c r="O80" s="17" t="s">
        <v>299</v>
      </c>
      <c r="P80" s="17"/>
      <c r="Q80" s="63">
        <f>--ISNUMBER(IF(StatusBranchGrade[[#This Row],[Sponsor0]] = 'Calculation Worksheet'!$AV$6 &amp; "  /  " &amp; 'Calculation Worksheet'!$AV$7, 1, ""))</f>
        <v>0</v>
      </c>
      <c r="R80" s="63" t="str">
        <f>IF(StatusBranchGrade[[#This Row],[S1]] = 1, COUNTIF($Q$3:Q80, 1), "")</f>
        <v/>
      </c>
      <c r="S80" s="63" t="str">
        <f>IFERROR(INDEX(StatusBranchGrade[Rank/Grade], MATCH(ROWS($R$3:R80)-1, StatusBranchGrade[S2], 0)), "") &amp; ""</f>
        <v/>
      </c>
      <c r="T80" s="63">
        <f>--ISNUMBER(IF(StatusBranchGrade[[#This Row],[Spouse0]] = 'Calculation Worksheet'!$CG$6 &amp; "  /  " &amp; 'Calculation Worksheet'!$CG$7, 1, ""))</f>
        <v>0</v>
      </c>
      <c r="U80" s="63" t="str">
        <f>IF(StatusBranchGrade[[#This Row],[T1]] = 1, COUNTIF($T$3:T80, 1), "")</f>
        <v/>
      </c>
      <c r="V80" s="63" t="str">
        <f>IFERROR(INDEX(StatusBranchGrade[Rank/Grade], MATCH(ROWS($U$3:U80)-1, StatusBranchGrade[T2], 0)), "") &amp; ""</f>
        <v/>
      </c>
      <c r="W80" s="63"/>
    </row>
    <row r="81" spans="1:23" x14ac:dyDescent="0.25">
      <c r="A81">
        <v>4</v>
      </c>
      <c r="B81" t="s">
        <v>339</v>
      </c>
      <c r="C81" t="s">
        <v>180</v>
      </c>
      <c r="D81" t="s">
        <v>102</v>
      </c>
      <c r="E81" t="str">
        <f>IF(StatusBranchGrade[[#This Row],[Status]] = "CYS", "DoD", StatusBranchGrade[[#This Row],[Rank]] &amp; "")</f>
        <v>E-4</v>
      </c>
      <c r="F81" t="s">
        <v>102</v>
      </c>
      <c r="G81" t="str">
        <f>IF(StatusBranchGrade[[#This Row],[Rank]] = StatusBranchGrade[[#This Row],[Grade]], StatusBranchGrade[[#This Row],[Rank]], StatusBranchGrade[[#This Row],[Grade]] &amp; "/" &amp; StatusBranchGrade[[#This Row],[Rank]]) &amp; ""</f>
        <v>E-4</v>
      </c>
      <c r="H8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E-4</v>
      </c>
      <c r="I81" s="17" t="str">
        <f>SUBSTITUTE(SUBSTITUTE(SUBSTITUTE(StatusBranchGrade[[#This Row],[Status]] &amp; "  /  " &amp; StatusBranchGrade[[#This Row],[Branch]] &amp; ";", "  /  ;", ";"), "  /  ;", ";"), ";", "")</f>
        <v>Wounded Warrior--GC-approved  /  Army</v>
      </c>
      <c r="J81">
        <v>12</v>
      </c>
      <c r="K81" s="17" t="str">
        <f>IF(LEFT(StatusBranchGrade[[#This Row],[Which]], 1) = "1", StatusBranchGrade[[#This Row],[Key]], "")</f>
        <v>Wounded Warrior--GC-approved  /  Army  /  E-4</v>
      </c>
      <c r="L81" s="17" t="str">
        <f>IF(LEFT(StatusBranchGrade[[#This Row],[Which]], 1) = "1", StatusBranchGrade[[#This Row],[Key0]], "")</f>
        <v>Wounded Warrior--GC-approved  /  Army</v>
      </c>
      <c r="M81" s="17" t="str">
        <f>IF(RIGHT(StatusBranchGrade[[#This Row],[Which]], 1) = "2", StatusBranchGrade[[#This Row],[Key]], "")</f>
        <v>Wounded Warrior--GC-approved  /  Army  /  E-4</v>
      </c>
      <c r="N81" s="17" t="str">
        <f>IF(RIGHT(StatusBranchGrade[[#This Row],[Which]], 1) = "2", StatusBranchGrade[[#This Row],[Key0]], "")</f>
        <v>Wounded Warrior--GC-approved  /  Army</v>
      </c>
      <c r="O81" s="17" t="s">
        <v>299</v>
      </c>
      <c r="P81" s="17"/>
      <c r="Q81" s="63">
        <f>--ISNUMBER(IF(StatusBranchGrade[[#This Row],[Sponsor0]] = 'Calculation Worksheet'!$AV$6 &amp; "  /  " &amp; 'Calculation Worksheet'!$AV$7, 1, ""))</f>
        <v>0</v>
      </c>
      <c r="R81" s="63" t="str">
        <f>IF(StatusBranchGrade[[#This Row],[S1]] = 1, COUNTIF($Q$3:Q81, 1), "")</f>
        <v/>
      </c>
      <c r="S81" s="63" t="str">
        <f>IFERROR(INDEX(StatusBranchGrade[Rank/Grade], MATCH(ROWS($R$3:R81)-1, StatusBranchGrade[S2], 0)), "") &amp; ""</f>
        <v/>
      </c>
      <c r="T81" s="63">
        <f>--ISNUMBER(IF(StatusBranchGrade[[#This Row],[Spouse0]] = 'Calculation Worksheet'!$CG$6 &amp; "  /  " &amp; 'Calculation Worksheet'!$CG$7, 1, ""))</f>
        <v>0</v>
      </c>
      <c r="U81" s="63" t="str">
        <f>IF(StatusBranchGrade[[#This Row],[T1]] = 1, COUNTIF($T$3:T81, 1), "")</f>
        <v/>
      </c>
      <c r="V81" s="63" t="str">
        <f>IFERROR(INDEX(StatusBranchGrade[Rank/Grade], MATCH(ROWS($U$3:U81)-1, StatusBranchGrade[T2], 0)), "") &amp; ""</f>
        <v/>
      </c>
      <c r="W81" s="63"/>
    </row>
    <row r="82" spans="1:23" x14ac:dyDescent="0.25">
      <c r="A82">
        <v>4</v>
      </c>
      <c r="B82" t="s">
        <v>339</v>
      </c>
      <c r="C82" t="s">
        <v>180</v>
      </c>
      <c r="D82" t="s">
        <v>101</v>
      </c>
      <c r="E82" t="str">
        <f>IF(StatusBranchGrade[[#This Row],[Status]] = "CYS", "DoD", StatusBranchGrade[[#This Row],[Rank]] &amp; "")</f>
        <v>E-5</v>
      </c>
      <c r="F82" t="s">
        <v>101</v>
      </c>
      <c r="G82" t="str">
        <f>IF(StatusBranchGrade[[#This Row],[Rank]] = StatusBranchGrade[[#This Row],[Grade]], StatusBranchGrade[[#This Row],[Rank]], StatusBranchGrade[[#This Row],[Grade]] &amp; "/" &amp; StatusBranchGrade[[#This Row],[Rank]]) &amp; ""</f>
        <v>E-5</v>
      </c>
      <c r="H8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E-5</v>
      </c>
      <c r="I82" s="17" t="str">
        <f>SUBSTITUTE(SUBSTITUTE(SUBSTITUTE(StatusBranchGrade[[#This Row],[Status]] &amp; "  /  " &amp; StatusBranchGrade[[#This Row],[Branch]] &amp; ";", "  /  ;", ";"), "  /  ;", ";"), ";", "")</f>
        <v>Wounded Warrior--GC-approved  /  Army</v>
      </c>
      <c r="J82">
        <v>12</v>
      </c>
      <c r="K82" s="17" t="str">
        <f>IF(LEFT(StatusBranchGrade[[#This Row],[Which]], 1) = "1", StatusBranchGrade[[#This Row],[Key]], "")</f>
        <v>Wounded Warrior--GC-approved  /  Army  /  E-5</v>
      </c>
      <c r="L82" s="17" t="str">
        <f>IF(LEFT(StatusBranchGrade[[#This Row],[Which]], 1) = "1", StatusBranchGrade[[#This Row],[Key0]], "")</f>
        <v>Wounded Warrior--GC-approved  /  Army</v>
      </c>
      <c r="M82" s="17" t="str">
        <f>IF(RIGHT(StatusBranchGrade[[#This Row],[Which]], 1) = "2", StatusBranchGrade[[#This Row],[Key]], "")</f>
        <v>Wounded Warrior--GC-approved  /  Army  /  E-5</v>
      </c>
      <c r="N82" s="17" t="str">
        <f>IF(RIGHT(StatusBranchGrade[[#This Row],[Which]], 1) = "2", StatusBranchGrade[[#This Row],[Key0]], "")</f>
        <v>Wounded Warrior--GC-approved  /  Army</v>
      </c>
      <c r="O82" s="17" t="s">
        <v>299</v>
      </c>
      <c r="P82" s="17"/>
      <c r="Q82" s="63">
        <f>--ISNUMBER(IF(StatusBranchGrade[[#This Row],[Sponsor0]] = 'Calculation Worksheet'!$AV$6 &amp; "  /  " &amp; 'Calculation Worksheet'!$AV$7, 1, ""))</f>
        <v>0</v>
      </c>
      <c r="R82" s="63" t="str">
        <f>IF(StatusBranchGrade[[#This Row],[S1]] = 1, COUNTIF($Q$3:Q82, 1), "")</f>
        <v/>
      </c>
      <c r="S82" s="63" t="str">
        <f>IFERROR(INDEX(StatusBranchGrade[Rank/Grade], MATCH(ROWS($R$3:R82)-1, StatusBranchGrade[S2], 0)), "") &amp; ""</f>
        <v/>
      </c>
      <c r="T82" s="63">
        <f>--ISNUMBER(IF(StatusBranchGrade[[#This Row],[Spouse0]] = 'Calculation Worksheet'!$CG$6 &amp; "  /  " &amp; 'Calculation Worksheet'!$CG$7, 1, ""))</f>
        <v>0</v>
      </c>
      <c r="U82" s="63" t="str">
        <f>IF(StatusBranchGrade[[#This Row],[T1]] = 1, COUNTIF($T$3:T82, 1), "")</f>
        <v/>
      </c>
      <c r="V82" s="63" t="str">
        <f>IFERROR(INDEX(StatusBranchGrade[Rank/Grade], MATCH(ROWS($U$3:U82)-1, StatusBranchGrade[T2], 0)), "") &amp; ""</f>
        <v/>
      </c>
      <c r="W82" s="63"/>
    </row>
    <row r="83" spans="1:23" x14ac:dyDescent="0.25">
      <c r="A83">
        <v>4</v>
      </c>
      <c r="B83" t="s">
        <v>339</v>
      </c>
      <c r="C83" t="s">
        <v>180</v>
      </c>
      <c r="D83" t="s">
        <v>100</v>
      </c>
      <c r="E83" t="str">
        <f>IF(StatusBranchGrade[[#This Row],[Status]] = "CYS", "DoD", StatusBranchGrade[[#This Row],[Rank]] &amp; "")</f>
        <v>E-6</v>
      </c>
      <c r="F83" t="s">
        <v>100</v>
      </c>
      <c r="G83" t="str">
        <f>IF(StatusBranchGrade[[#This Row],[Rank]] = StatusBranchGrade[[#This Row],[Grade]], StatusBranchGrade[[#This Row],[Rank]], StatusBranchGrade[[#This Row],[Grade]] &amp; "/" &amp; StatusBranchGrade[[#This Row],[Rank]]) &amp; ""</f>
        <v>E-6</v>
      </c>
      <c r="H8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E-6</v>
      </c>
      <c r="I83" s="17" t="str">
        <f>SUBSTITUTE(SUBSTITUTE(SUBSTITUTE(StatusBranchGrade[[#This Row],[Status]] &amp; "  /  " &amp; StatusBranchGrade[[#This Row],[Branch]] &amp; ";", "  /  ;", ";"), "  /  ;", ";"), ";", "")</f>
        <v>Wounded Warrior--GC-approved  /  Army</v>
      </c>
      <c r="J83">
        <v>12</v>
      </c>
      <c r="K83" s="17" t="str">
        <f>IF(LEFT(StatusBranchGrade[[#This Row],[Which]], 1) = "1", StatusBranchGrade[[#This Row],[Key]], "")</f>
        <v>Wounded Warrior--GC-approved  /  Army  /  E-6</v>
      </c>
      <c r="L83" s="17" t="str">
        <f>IF(LEFT(StatusBranchGrade[[#This Row],[Which]], 1) = "1", StatusBranchGrade[[#This Row],[Key0]], "")</f>
        <v>Wounded Warrior--GC-approved  /  Army</v>
      </c>
      <c r="M83" s="17" t="str">
        <f>IF(RIGHT(StatusBranchGrade[[#This Row],[Which]], 1) = "2", StatusBranchGrade[[#This Row],[Key]], "")</f>
        <v>Wounded Warrior--GC-approved  /  Army  /  E-6</v>
      </c>
      <c r="N83" s="17" t="str">
        <f>IF(RIGHT(StatusBranchGrade[[#This Row],[Which]], 1) = "2", StatusBranchGrade[[#This Row],[Key0]], "")</f>
        <v>Wounded Warrior--GC-approved  /  Army</v>
      </c>
      <c r="O83" s="17" t="s">
        <v>299</v>
      </c>
      <c r="P83" s="17"/>
      <c r="Q83" s="63">
        <f>--ISNUMBER(IF(StatusBranchGrade[[#This Row],[Sponsor0]] = 'Calculation Worksheet'!$AV$6 &amp; "  /  " &amp; 'Calculation Worksheet'!$AV$7, 1, ""))</f>
        <v>0</v>
      </c>
      <c r="R83" s="63" t="str">
        <f>IF(StatusBranchGrade[[#This Row],[S1]] = 1, COUNTIF($Q$3:Q83, 1), "")</f>
        <v/>
      </c>
      <c r="S83" s="63" t="str">
        <f>IFERROR(INDEX(StatusBranchGrade[Rank/Grade], MATCH(ROWS($R$3:R83)-1, StatusBranchGrade[S2], 0)), "") &amp; ""</f>
        <v/>
      </c>
      <c r="T83" s="63">
        <f>--ISNUMBER(IF(StatusBranchGrade[[#This Row],[Spouse0]] = 'Calculation Worksheet'!$CG$6 &amp; "  /  " &amp; 'Calculation Worksheet'!$CG$7, 1, ""))</f>
        <v>0</v>
      </c>
      <c r="U83" s="63" t="str">
        <f>IF(StatusBranchGrade[[#This Row],[T1]] = 1, COUNTIF($T$3:T83, 1), "")</f>
        <v/>
      </c>
      <c r="V83" s="63" t="str">
        <f>IFERROR(INDEX(StatusBranchGrade[Rank/Grade], MATCH(ROWS($U$3:U83)-1, StatusBranchGrade[T2], 0)), "") &amp; ""</f>
        <v/>
      </c>
      <c r="W83" s="63"/>
    </row>
    <row r="84" spans="1:23" x14ac:dyDescent="0.25">
      <c r="A84">
        <v>4</v>
      </c>
      <c r="B84" t="s">
        <v>339</v>
      </c>
      <c r="C84" t="s">
        <v>180</v>
      </c>
      <c r="D84" t="s">
        <v>99</v>
      </c>
      <c r="E84" t="str">
        <f>IF(StatusBranchGrade[[#This Row],[Status]] = "CYS", "DoD", StatusBranchGrade[[#This Row],[Rank]] &amp; "")</f>
        <v>E-7</v>
      </c>
      <c r="F84" t="s">
        <v>99</v>
      </c>
      <c r="G84" t="str">
        <f>IF(StatusBranchGrade[[#This Row],[Rank]] = StatusBranchGrade[[#This Row],[Grade]], StatusBranchGrade[[#This Row],[Rank]], StatusBranchGrade[[#This Row],[Grade]] &amp; "/" &amp; StatusBranchGrade[[#This Row],[Rank]]) &amp; ""</f>
        <v>E-7</v>
      </c>
      <c r="H8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E-7</v>
      </c>
      <c r="I84" s="17" t="str">
        <f>SUBSTITUTE(SUBSTITUTE(SUBSTITUTE(StatusBranchGrade[[#This Row],[Status]] &amp; "  /  " &amp; StatusBranchGrade[[#This Row],[Branch]] &amp; ";", "  /  ;", ";"), "  /  ;", ";"), ";", "")</f>
        <v>Wounded Warrior--GC-approved  /  Army</v>
      </c>
      <c r="J84">
        <v>12</v>
      </c>
      <c r="K84" s="17" t="str">
        <f>IF(LEFT(StatusBranchGrade[[#This Row],[Which]], 1) = "1", StatusBranchGrade[[#This Row],[Key]], "")</f>
        <v>Wounded Warrior--GC-approved  /  Army  /  E-7</v>
      </c>
      <c r="L84" s="17" t="str">
        <f>IF(LEFT(StatusBranchGrade[[#This Row],[Which]], 1) = "1", StatusBranchGrade[[#This Row],[Key0]], "")</f>
        <v>Wounded Warrior--GC-approved  /  Army</v>
      </c>
      <c r="M84" s="17" t="str">
        <f>IF(RIGHT(StatusBranchGrade[[#This Row],[Which]], 1) = "2", StatusBranchGrade[[#This Row],[Key]], "")</f>
        <v>Wounded Warrior--GC-approved  /  Army  /  E-7</v>
      </c>
      <c r="N84" s="17" t="str">
        <f>IF(RIGHT(StatusBranchGrade[[#This Row],[Which]], 1) = "2", StatusBranchGrade[[#This Row],[Key0]], "")</f>
        <v>Wounded Warrior--GC-approved  /  Army</v>
      </c>
      <c r="O84" s="17" t="s">
        <v>299</v>
      </c>
      <c r="P84" s="17"/>
      <c r="Q84" s="63">
        <f>--ISNUMBER(IF(StatusBranchGrade[[#This Row],[Sponsor0]] = 'Calculation Worksheet'!$AV$6 &amp; "  /  " &amp; 'Calculation Worksheet'!$AV$7, 1, ""))</f>
        <v>0</v>
      </c>
      <c r="R84" s="63" t="str">
        <f>IF(StatusBranchGrade[[#This Row],[S1]] = 1, COUNTIF($Q$3:Q84, 1), "")</f>
        <v/>
      </c>
      <c r="S84" s="63" t="str">
        <f>IFERROR(INDEX(StatusBranchGrade[Rank/Grade], MATCH(ROWS($R$3:R84)-1, StatusBranchGrade[S2], 0)), "") &amp; ""</f>
        <v/>
      </c>
      <c r="T84" s="63">
        <f>--ISNUMBER(IF(StatusBranchGrade[[#This Row],[Spouse0]] = 'Calculation Worksheet'!$CG$6 &amp; "  /  " &amp; 'Calculation Worksheet'!$CG$7, 1, ""))</f>
        <v>0</v>
      </c>
      <c r="U84" s="63" t="str">
        <f>IF(StatusBranchGrade[[#This Row],[T1]] = 1, COUNTIF($T$3:T84, 1), "")</f>
        <v/>
      </c>
      <c r="V84" s="63" t="str">
        <f>IFERROR(INDEX(StatusBranchGrade[Rank/Grade], MATCH(ROWS($U$3:U84)-1, StatusBranchGrade[T2], 0)), "") &amp; ""</f>
        <v/>
      </c>
      <c r="W84" s="63"/>
    </row>
    <row r="85" spans="1:23" x14ac:dyDescent="0.25">
      <c r="A85">
        <v>4</v>
      </c>
      <c r="B85" t="s">
        <v>339</v>
      </c>
      <c r="C85" t="s">
        <v>180</v>
      </c>
      <c r="D85" t="s">
        <v>98</v>
      </c>
      <c r="E85" t="str">
        <f>IF(StatusBranchGrade[[#This Row],[Status]] = "CYS", "DoD", StatusBranchGrade[[#This Row],[Rank]] &amp; "")</f>
        <v>E-8</v>
      </c>
      <c r="F85" t="s">
        <v>98</v>
      </c>
      <c r="G85" t="str">
        <f>IF(StatusBranchGrade[[#This Row],[Rank]] = StatusBranchGrade[[#This Row],[Grade]], StatusBranchGrade[[#This Row],[Rank]], StatusBranchGrade[[#This Row],[Grade]] &amp; "/" &amp; StatusBranchGrade[[#This Row],[Rank]]) &amp; ""</f>
        <v>E-8</v>
      </c>
      <c r="H8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E-8</v>
      </c>
      <c r="I85" s="17" t="str">
        <f>SUBSTITUTE(SUBSTITUTE(SUBSTITUTE(StatusBranchGrade[[#This Row],[Status]] &amp; "  /  " &amp; StatusBranchGrade[[#This Row],[Branch]] &amp; ";", "  /  ;", ";"), "  /  ;", ";"), ";", "")</f>
        <v>Wounded Warrior--GC-approved  /  Army</v>
      </c>
      <c r="J85">
        <v>12</v>
      </c>
      <c r="K85" s="17" t="str">
        <f>IF(LEFT(StatusBranchGrade[[#This Row],[Which]], 1) = "1", StatusBranchGrade[[#This Row],[Key]], "")</f>
        <v>Wounded Warrior--GC-approved  /  Army  /  E-8</v>
      </c>
      <c r="L85" s="17" t="str">
        <f>IF(LEFT(StatusBranchGrade[[#This Row],[Which]], 1) = "1", StatusBranchGrade[[#This Row],[Key0]], "")</f>
        <v>Wounded Warrior--GC-approved  /  Army</v>
      </c>
      <c r="M85" s="17" t="str">
        <f>IF(RIGHT(StatusBranchGrade[[#This Row],[Which]], 1) = "2", StatusBranchGrade[[#This Row],[Key]], "")</f>
        <v>Wounded Warrior--GC-approved  /  Army  /  E-8</v>
      </c>
      <c r="N85" s="17" t="str">
        <f>IF(RIGHT(StatusBranchGrade[[#This Row],[Which]], 1) = "2", StatusBranchGrade[[#This Row],[Key0]], "")</f>
        <v>Wounded Warrior--GC-approved  /  Army</v>
      </c>
      <c r="O85" s="17" t="s">
        <v>299</v>
      </c>
      <c r="P85" s="17"/>
      <c r="Q85" s="63">
        <f>--ISNUMBER(IF(StatusBranchGrade[[#This Row],[Sponsor0]] = 'Calculation Worksheet'!$AV$6 &amp; "  /  " &amp; 'Calculation Worksheet'!$AV$7, 1, ""))</f>
        <v>0</v>
      </c>
      <c r="R85" s="63" t="str">
        <f>IF(StatusBranchGrade[[#This Row],[S1]] = 1, COUNTIF($Q$3:Q85, 1), "")</f>
        <v/>
      </c>
      <c r="S85" s="63" t="str">
        <f>IFERROR(INDEX(StatusBranchGrade[Rank/Grade], MATCH(ROWS($R$3:R85)-1, StatusBranchGrade[S2], 0)), "") &amp; ""</f>
        <v/>
      </c>
      <c r="T85" s="63">
        <f>--ISNUMBER(IF(StatusBranchGrade[[#This Row],[Spouse0]] = 'Calculation Worksheet'!$CG$6 &amp; "  /  " &amp; 'Calculation Worksheet'!$CG$7, 1, ""))</f>
        <v>0</v>
      </c>
      <c r="U85" s="63" t="str">
        <f>IF(StatusBranchGrade[[#This Row],[T1]] = 1, COUNTIF($T$3:T85, 1), "")</f>
        <v/>
      </c>
      <c r="V85" s="63" t="str">
        <f>IFERROR(INDEX(StatusBranchGrade[Rank/Grade], MATCH(ROWS($U$3:U85)-1, StatusBranchGrade[T2], 0)), "") &amp; ""</f>
        <v/>
      </c>
      <c r="W85" s="63"/>
    </row>
    <row r="86" spans="1:23" x14ac:dyDescent="0.25">
      <c r="A86">
        <v>4</v>
      </c>
      <c r="B86" t="s">
        <v>339</v>
      </c>
      <c r="C86" t="s">
        <v>180</v>
      </c>
      <c r="D86" t="s">
        <v>97</v>
      </c>
      <c r="E86" t="str">
        <f>IF(StatusBranchGrade[[#This Row],[Status]] = "CYS", "DoD", StatusBranchGrade[[#This Row],[Rank]] &amp; "")</f>
        <v>E-9</v>
      </c>
      <c r="F86" t="s">
        <v>97</v>
      </c>
      <c r="G86" t="str">
        <f>IF(StatusBranchGrade[[#This Row],[Rank]] = StatusBranchGrade[[#This Row],[Grade]], StatusBranchGrade[[#This Row],[Rank]], StatusBranchGrade[[#This Row],[Grade]] &amp; "/" &amp; StatusBranchGrade[[#This Row],[Rank]]) &amp; ""</f>
        <v>E-9</v>
      </c>
      <c r="H8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E-9</v>
      </c>
      <c r="I86" s="17" t="str">
        <f>SUBSTITUTE(SUBSTITUTE(SUBSTITUTE(StatusBranchGrade[[#This Row],[Status]] &amp; "  /  " &amp; StatusBranchGrade[[#This Row],[Branch]] &amp; ";", "  /  ;", ";"), "  /  ;", ";"), ";", "")</f>
        <v>Wounded Warrior--GC-approved  /  Army</v>
      </c>
      <c r="J86">
        <v>12</v>
      </c>
      <c r="K86" s="17" t="str">
        <f>IF(LEFT(StatusBranchGrade[[#This Row],[Which]], 1) = "1", StatusBranchGrade[[#This Row],[Key]], "")</f>
        <v>Wounded Warrior--GC-approved  /  Army  /  E-9</v>
      </c>
      <c r="L86" s="17" t="str">
        <f>IF(LEFT(StatusBranchGrade[[#This Row],[Which]], 1) = "1", StatusBranchGrade[[#This Row],[Key0]], "")</f>
        <v>Wounded Warrior--GC-approved  /  Army</v>
      </c>
      <c r="M86" s="17" t="str">
        <f>IF(RIGHT(StatusBranchGrade[[#This Row],[Which]], 1) = "2", StatusBranchGrade[[#This Row],[Key]], "")</f>
        <v>Wounded Warrior--GC-approved  /  Army  /  E-9</v>
      </c>
      <c r="N86" s="17" t="str">
        <f>IF(RIGHT(StatusBranchGrade[[#This Row],[Which]], 1) = "2", StatusBranchGrade[[#This Row],[Key0]], "")</f>
        <v>Wounded Warrior--GC-approved  /  Army</v>
      </c>
      <c r="O86" s="17" t="s">
        <v>299</v>
      </c>
      <c r="P86" s="17"/>
      <c r="Q86" s="63">
        <f>--ISNUMBER(IF(StatusBranchGrade[[#This Row],[Sponsor0]] = 'Calculation Worksheet'!$AV$6 &amp; "  /  " &amp; 'Calculation Worksheet'!$AV$7, 1, ""))</f>
        <v>0</v>
      </c>
      <c r="R86" s="63" t="str">
        <f>IF(StatusBranchGrade[[#This Row],[S1]] = 1, COUNTIF($Q$3:Q86, 1), "")</f>
        <v/>
      </c>
      <c r="S86" s="63" t="str">
        <f>IFERROR(INDEX(StatusBranchGrade[Rank/Grade], MATCH(ROWS($R$3:R86)-1, StatusBranchGrade[S2], 0)), "") &amp; ""</f>
        <v/>
      </c>
      <c r="T86" s="63">
        <f>--ISNUMBER(IF(StatusBranchGrade[[#This Row],[Spouse0]] = 'Calculation Worksheet'!$CG$6 &amp; "  /  " &amp; 'Calculation Worksheet'!$CG$7, 1, ""))</f>
        <v>0</v>
      </c>
      <c r="U86" s="63" t="str">
        <f>IF(StatusBranchGrade[[#This Row],[T1]] = 1, COUNTIF($T$3:T86, 1), "")</f>
        <v/>
      </c>
      <c r="V86" s="63" t="str">
        <f>IFERROR(INDEX(StatusBranchGrade[Rank/Grade], MATCH(ROWS($U$3:U86)-1, StatusBranchGrade[T2], 0)), "") &amp; ""</f>
        <v/>
      </c>
      <c r="W86" s="63"/>
    </row>
    <row r="87" spans="1:23" x14ac:dyDescent="0.25">
      <c r="A87">
        <v>4</v>
      </c>
      <c r="B87" t="s">
        <v>339</v>
      </c>
      <c r="C87" t="s">
        <v>180</v>
      </c>
      <c r="D87" t="s">
        <v>92</v>
      </c>
      <c r="E87" t="str">
        <f>IF(StatusBranchGrade[[#This Row],[Status]] = "CYS", "DoD", StatusBranchGrade[[#This Row],[Rank]] &amp; "")</f>
        <v>W-5</v>
      </c>
      <c r="F87" t="s">
        <v>178</v>
      </c>
      <c r="G87" t="str">
        <f>IF(StatusBranchGrade[[#This Row],[Rank]] = StatusBranchGrade[[#This Row],[Grade]], StatusBranchGrade[[#This Row],[Rank]], StatusBranchGrade[[#This Row],[Grade]] &amp; "/" &amp; StatusBranchGrade[[#This Row],[Rank]]) &amp; ""</f>
        <v>MW5/W-5</v>
      </c>
      <c r="H8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MW5/W-5</v>
      </c>
      <c r="I87" s="17" t="str">
        <f>SUBSTITUTE(SUBSTITUTE(SUBSTITUTE(StatusBranchGrade[[#This Row],[Status]] &amp; "  /  " &amp; StatusBranchGrade[[#This Row],[Branch]] &amp; ";", "  /  ;", ";"), "  /  ;", ";"), ";", "")</f>
        <v>Wounded Warrior--GC-approved  /  Army</v>
      </c>
      <c r="J87">
        <v>12</v>
      </c>
      <c r="K87" s="17" t="str">
        <f>IF(LEFT(StatusBranchGrade[[#This Row],[Which]], 1) = "1", StatusBranchGrade[[#This Row],[Key]], "")</f>
        <v>Wounded Warrior--GC-approved  /  Army  /  MW5/W-5</v>
      </c>
      <c r="L87" s="17" t="str">
        <f>IF(LEFT(StatusBranchGrade[[#This Row],[Which]], 1) = "1", StatusBranchGrade[[#This Row],[Key0]], "")</f>
        <v>Wounded Warrior--GC-approved  /  Army</v>
      </c>
      <c r="M87" s="17" t="str">
        <f>IF(RIGHT(StatusBranchGrade[[#This Row],[Which]], 1) = "2", StatusBranchGrade[[#This Row],[Key]], "")</f>
        <v>Wounded Warrior--GC-approved  /  Army  /  MW5/W-5</v>
      </c>
      <c r="N87" s="17" t="str">
        <f>IF(RIGHT(StatusBranchGrade[[#This Row],[Which]], 1) = "2", StatusBranchGrade[[#This Row],[Key0]], "")</f>
        <v>Wounded Warrior--GC-approved  /  Army</v>
      </c>
      <c r="O87" s="17" t="s">
        <v>299</v>
      </c>
      <c r="P87" s="17"/>
      <c r="Q87" s="63">
        <f>--ISNUMBER(IF(StatusBranchGrade[[#This Row],[Sponsor0]] = 'Calculation Worksheet'!$AV$6 &amp; "  /  " &amp; 'Calculation Worksheet'!$AV$7, 1, ""))</f>
        <v>0</v>
      </c>
      <c r="R87" s="63" t="str">
        <f>IF(StatusBranchGrade[[#This Row],[S1]] = 1, COUNTIF($Q$3:Q87, 1), "")</f>
        <v/>
      </c>
      <c r="S87" s="63" t="str">
        <f>IFERROR(INDEX(StatusBranchGrade[Rank/Grade], MATCH(ROWS($R$3:R87)-1, StatusBranchGrade[S2], 0)), "") &amp; ""</f>
        <v/>
      </c>
      <c r="T87" s="63">
        <f>--ISNUMBER(IF(StatusBranchGrade[[#This Row],[Spouse0]] = 'Calculation Worksheet'!$CG$6 &amp; "  /  " &amp; 'Calculation Worksheet'!$CG$7, 1, ""))</f>
        <v>0</v>
      </c>
      <c r="U87" s="63" t="str">
        <f>IF(StatusBranchGrade[[#This Row],[T1]] = 1, COUNTIF($T$3:T87, 1), "")</f>
        <v/>
      </c>
      <c r="V87" s="63" t="str">
        <f>IFERROR(INDEX(StatusBranchGrade[Rank/Grade], MATCH(ROWS($U$3:U87)-1, StatusBranchGrade[T2], 0)), "") &amp; ""</f>
        <v/>
      </c>
      <c r="W87" s="63"/>
    </row>
    <row r="88" spans="1:23" x14ac:dyDescent="0.25">
      <c r="A88">
        <v>4</v>
      </c>
      <c r="B88" t="s">
        <v>339</v>
      </c>
      <c r="C88" t="s">
        <v>180</v>
      </c>
      <c r="D88" t="s">
        <v>91</v>
      </c>
      <c r="E88" t="str">
        <f>IF(StatusBranchGrade[[#This Row],[Status]] = "CYS", "DoD", StatusBranchGrade[[#This Row],[Rank]] &amp; "")</f>
        <v>O-1</v>
      </c>
      <c r="F88" t="s">
        <v>91</v>
      </c>
      <c r="G88" t="str">
        <f>IF(StatusBranchGrade[[#This Row],[Rank]] = StatusBranchGrade[[#This Row],[Grade]], StatusBranchGrade[[#This Row],[Rank]], StatusBranchGrade[[#This Row],[Grade]] &amp; "/" &amp; StatusBranchGrade[[#This Row],[Rank]]) &amp; ""</f>
        <v>O-1</v>
      </c>
      <c r="H8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O-1</v>
      </c>
      <c r="I88" s="17" t="str">
        <f>SUBSTITUTE(SUBSTITUTE(SUBSTITUTE(StatusBranchGrade[[#This Row],[Status]] &amp; "  /  " &amp; StatusBranchGrade[[#This Row],[Branch]] &amp; ";", "  /  ;", ";"), "  /  ;", ";"), ";", "")</f>
        <v>Wounded Warrior--GC-approved  /  Army</v>
      </c>
      <c r="J88">
        <v>12</v>
      </c>
      <c r="K88" s="17" t="str">
        <f>IF(LEFT(StatusBranchGrade[[#This Row],[Which]], 1) = "1", StatusBranchGrade[[#This Row],[Key]], "")</f>
        <v>Wounded Warrior--GC-approved  /  Army  /  O-1</v>
      </c>
      <c r="L88" s="17" t="str">
        <f>IF(LEFT(StatusBranchGrade[[#This Row],[Which]], 1) = "1", StatusBranchGrade[[#This Row],[Key0]], "")</f>
        <v>Wounded Warrior--GC-approved  /  Army</v>
      </c>
      <c r="M88" s="17" t="str">
        <f>IF(RIGHT(StatusBranchGrade[[#This Row],[Which]], 1) = "2", StatusBranchGrade[[#This Row],[Key]], "")</f>
        <v>Wounded Warrior--GC-approved  /  Army  /  O-1</v>
      </c>
      <c r="N88" s="17" t="str">
        <f>IF(RIGHT(StatusBranchGrade[[#This Row],[Which]], 1) = "2", StatusBranchGrade[[#This Row],[Key0]], "")</f>
        <v>Wounded Warrior--GC-approved  /  Army</v>
      </c>
      <c r="O88" s="17" t="s">
        <v>299</v>
      </c>
      <c r="P88" s="17"/>
      <c r="Q88" s="63">
        <f>--ISNUMBER(IF(StatusBranchGrade[[#This Row],[Sponsor0]] = 'Calculation Worksheet'!$AV$6 &amp; "  /  " &amp; 'Calculation Worksheet'!$AV$7, 1, ""))</f>
        <v>0</v>
      </c>
      <c r="R88" s="63" t="str">
        <f>IF(StatusBranchGrade[[#This Row],[S1]] = 1, COUNTIF($Q$3:Q88, 1), "")</f>
        <v/>
      </c>
      <c r="S88" s="63" t="str">
        <f>IFERROR(INDEX(StatusBranchGrade[Rank/Grade], MATCH(ROWS($R$3:R88)-1, StatusBranchGrade[S2], 0)), "") &amp; ""</f>
        <v/>
      </c>
      <c r="T88" s="63">
        <f>--ISNUMBER(IF(StatusBranchGrade[[#This Row],[Spouse0]] = 'Calculation Worksheet'!$CG$6 &amp; "  /  " &amp; 'Calculation Worksheet'!$CG$7, 1, ""))</f>
        <v>0</v>
      </c>
      <c r="U88" s="63" t="str">
        <f>IF(StatusBranchGrade[[#This Row],[T1]] = 1, COUNTIF($T$3:T88, 1), "")</f>
        <v/>
      </c>
      <c r="V88" s="63" t="str">
        <f>IFERROR(INDEX(StatusBranchGrade[Rank/Grade], MATCH(ROWS($U$3:U88)-1, StatusBranchGrade[T2], 0)), "") &amp; ""</f>
        <v/>
      </c>
      <c r="W88" s="63"/>
    </row>
    <row r="89" spans="1:23" x14ac:dyDescent="0.25">
      <c r="A89">
        <v>4</v>
      </c>
      <c r="B89" t="s">
        <v>339</v>
      </c>
      <c r="C89" t="s">
        <v>180</v>
      </c>
      <c r="D89" s="75" t="s">
        <v>10</v>
      </c>
      <c r="E89" s="75" t="str">
        <f>IF(StatusBranchGrade[[#This Row],[Status]] = "CYS", "DoD", StatusBranchGrade[[#This Row],[Rank]] &amp; "")</f>
        <v>O1E</v>
      </c>
      <c r="F89" s="75" t="s">
        <v>91</v>
      </c>
      <c r="G89" s="75" t="str">
        <f>IF(StatusBranchGrade[[#This Row],[Rank]] = StatusBranchGrade[[#This Row],[Grade]], StatusBranchGrade[[#This Row],[Rank]], StatusBranchGrade[[#This Row],[Grade]] &amp; "/" &amp; StatusBranchGrade[[#This Row],[Rank]]) &amp; ""</f>
        <v>O-1/O1E</v>
      </c>
      <c r="H8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O-1/O1E</v>
      </c>
      <c r="I89" s="17" t="str">
        <f>SUBSTITUTE(SUBSTITUTE(SUBSTITUTE(StatusBranchGrade[[#This Row],[Status]] &amp; "  /  " &amp; StatusBranchGrade[[#This Row],[Branch]] &amp; ";", "  /  ;", ";"), "  /  ;", ";"), ";", "")</f>
        <v>Wounded Warrior--GC-approved  /  Army</v>
      </c>
      <c r="J89">
        <v>12</v>
      </c>
      <c r="K89" s="17" t="str">
        <f>IF(LEFT(StatusBranchGrade[[#This Row],[Which]], 1) = "1", StatusBranchGrade[[#This Row],[Key]], "")</f>
        <v>Wounded Warrior--GC-approved  /  Army  /  O-1/O1E</v>
      </c>
      <c r="L89" s="17" t="str">
        <f>IF(LEFT(StatusBranchGrade[[#This Row],[Which]], 1) = "1", StatusBranchGrade[[#This Row],[Key0]], "")</f>
        <v>Wounded Warrior--GC-approved  /  Army</v>
      </c>
      <c r="M89" s="17" t="str">
        <f>IF(RIGHT(StatusBranchGrade[[#This Row],[Which]], 1) = "2", StatusBranchGrade[[#This Row],[Key]], "")</f>
        <v>Wounded Warrior--GC-approved  /  Army  /  O-1/O1E</v>
      </c>
      <c r="N89" s="17" t="str">
        <f>IF(RIGHT(StatusBranchGrade[[#This Row],[Which]], 1) = "2", StatusBranchGrade[[#This Row],[Key0]], "")</f>
        <v>Wounded Warrior--GC-approved  /  Army</v>
      </c>
      <c r="O89" s="17" t="s">
        <v>299</v>
      </c>
      <c r="P89" s="17"/>
      <c r="Q89" s="63">
        <f>--ISNUMBER(IF(StatusBranchGrade[[#This Row],[Sponsor0]] = 'Calculation Worksheet'!$AV$6 &amp; "  /  " &amp; 'Calculation Worksheet'!$AV$7, 1, ""))</f>
        <v>0</v>
      </c>
      <c r="R89" s="63" t="str">
        <f>IF(StatusBranchGrade[[#This Row],[S1]] = 1, COUNTIF($Q$3:Q89, 1), "")</f>
        <v/>
      </c>
      <c r="S89" s="63" t="str">
        <f>IFERROR(INDEX(StatusBranchGrade[Rank/Grade], MATCH(ROWS($R$3:R89)-1, StatusBranchGrade[S2], 0)), "") &amp; ""</f>
        <v/>
      </c>
      <c r="T89" s="63">
        <f>--ISNUMBER(IF(StatusBranchGrade[[#This Row],[Spouse0]] = 'Calculation Worksheet'!$CG$6 &amp; "  /  " &amp; 'Calculation Worksheet'!$CG$7, 1, ""))</f>
        <v>0</v>
      </c>
      <c r="U89" s="63" t="str">
        <f>IF(StatusBranchGrade[[#This Row],[T1]] = 1, COUNTIF($T$3:T89, 1), "")</f>
        <v/>
      </c>
      <c r="V89" s="63" t="str">
        <f>IFERROR(INDEX(StatusBranchGrade[Rank/Grade], MATCH(ROWS($U$3:U89)-1, StatusBranchGrade[T2], 0)), "") &amp; ""</f>
        <v/>
      </c>
      <c r="W89" s="63"/>
    </row>
    <row r="90" spans="1:23" x14ac:dyDescent="0.25">
      <c r="A90">
        <v>4</v>
      </c>
      <c r="B90" t="s">
        <v>339</v>
      </c>
      <c r="C90" t="s">
        <v>180</v>
      </c>
      <c r="D90" t="s">
        <v>82</v>
      </c>
      <c r="E90" t="str">
        <f>IF(StatusBranchGrade[[#This Row],[Status]] = "CYS", "DoD", StatusBranchGrade[[#This Row],[Rank]] &amp; "")</f>
        <v>O-10</v>
      </c>
      <c r="F90" t="s">
        <v>82</v>
      </c>
      <c r="G90" t="str">
        <f>IF(StatusBranchGrade[[#This Row],[Rank]] = StatusBranchGrade[[#This Row],[Grade]], StatusBranchGrade[[#This Row],[Rank]], StatusBranchGrade[[#This Row],[Grade]] &amp; "/" &amp; StatusBranchGrade[[#This Row],[Rank]]) &amp; ""</f>
        <v>O-10</v>
      </c>
      <c r="H9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O-10</v>
      </c>
      <c r="I90" s="17" t="str">
        <f>SUBSTITUTE(SUBSTITUTE(SUBSTITUTE(StatusBranchGrade[[#This Row],[Status]] &amp; "  /  " &amp; StatusBranchGrade[[#This Row],[Branch]] &amp; ";", "  /  ;", ";"), "  /  ;", ";"), ";", "")</f>
        <v>Wounded Warrior--GC-approved  /  Army</v>
      </c>
      <c r="J90">
        <v>12</v>
      </c>
      <c r="K90" s="17" t="str">
        <f>IF(LEFT(StatusBranchGrade[[#This Row],[Which]], 1) = "1", StatusBranchGrade[[#This Row],[Key]], "")</f>
        <v>Wounded Warrior--GC-approved  /  Army  /  O-10</v>
      </c>
      <c r="L90" s="17" t="str">
        <f>IF(LEFT(StatusBranchGrade[[#This Row],[Which]], 1) = "1", StatusBranchGrade[[#This Row],[Key0]], "")</f>
        <v>Wounded Warrior--GC-approved  /  Army</v>
      </c>
      <c r="M90" s="17" t="str">
        <f>IF(RIGHT(StatusBranchGrade[[#This Row],[Which]], 1) = "2", StatusBranchGrade[[#This Row],[Key]], "")</f>
        <v>Wounded Warrior--GC-approved  /  Army  /  O-10</v>
      </c>
      <c r="N90" s="17" t="str">
        <f>IF(RIGHT(StatusBranchGrade[[#This Row],[Which]], 1) = "2", StatusBranchGrade[[#This Row],[Key0]], "")</f>
        <v>Wounded Warrior--GC-approved  /  Army</v>
      </c>
      <c r="O90" s="17" t="s">
        <v>299</v>
      </c>
      <c r="P90" s="17"/>
      <c r="Q90" s="63">
        <f>--ISNUMBER(IF(StatusBranchGrade[[#This Row],[Sponsor0]] = 'Calculation Worksheet'!$AV$6 &amp; "  /  " &amp; 'Calculation Worksheet'!$AV$7, 1, ""))</f>
        <v>0</v>
      </c>
      <c r="R90" s="63" t="str">
        <f>IF(StatusBranchGrade[[#This Row],[S1]] = 1, COUNTIF($Q$3:Q90, 1), "")</f>
        <v/>
      </c>
      <c r="S90" s="63" t="str">
        <f>IFERROR(INDEX(StatusBranchGrade[Rank/Grade], MATCH(ROWS($R$3:R90)-1, StatusBranchGrade[S2], 0)), "") &amp; ""</f>
        <v/>
      </c>
      <c r="T90" s="63">
        <f>--ISNUMBER(IF(StatusBranchGrade[[#This Row],[Spouse0]] = 'Calculation Worksheet'!$CG$6 &amp; "  /  " &amp; 'Calculation Worksheet'!$CG$7, 1, ""))</f>
        <v>0</v>
      </c>
      <c r="U90" s="63" t="str">
        <f>IF(StatusBranchGrade[[#This Row],[T1]] = 1, COUNTIF($T$3:T90, 1), "")</f>
        <v/>
      </c>
      <c r="V90" s="63" t="str">
        <f>IFERROR(INDEX(StatusBranchGrade[Rank/Grade], MATCH(ROWS($U$3:U90)-1, StatusBranchGrade[T2], 0)), "") &amp; ""</f>
        <v/>
      </c>
      <c r="W90" s="63"/>
    </row>
    <row r="91" spans="1:23" x14ac:dyDescent="0.25">
      <c r="A91">
        <v>4</v>
      </c>
      <c r="B91" t="s">
        <v>339</v>
      </c>
      <c r="C91" t="s">
        <v>180</v>
      </c>
      <c r="D91" t="s">
        <v>90</v>
      </c>
      <c r="E91" t="str">
        <f>IF(StatusBranchGrade[[#This Row],[Status]] = "CYS", "DoD", StatusBranchGrade[[#This Row],[Rank]] &amp; "")</f>
        <v>O-2</v>
      </c>
      <c r="F91" t="s">
        <v>90</v>
      </c>
      <c r="G91" t="str">
        <f>IF(StatusBranchGrade[[#This Row],[Rank]] = StatusBranchGrade[[#This Row],[Grade]], StatusBranchGrade[[#This Row],[Rank]], StatusBranchGrade[[#This Row],[Grade]] &amp; "/" &amp; StatusBranchGrade[[#This Row],[Rank]]) &amp; ""</f>
        <v>O-2</v>
      </c>
      <c r="H9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O-2</v>
      </c>
      <c r="I91" s="17" t="str">
        <f>SUBSTITUTE(SUBSTITUTE(SUBSTITUTE(StatusBranchGrade[[#This Row],[Status]] &amp; "  /  " &amp; StatusBranchGrade[[#This Row],[Branch]] &amp; ";", "  /  ;", ";"), "  /  ;", ";"), ";", "")</f>
        <v>Wounded Warrior--GC-approved  /  Army</v>
      </c>
      <c r="J91">
        <v>12</v>
      </c>
      <c r="K91" s="17" t="str">
        <f>IF(LEFT(StatusBranchGrade[[#This Row],[Which]], 1) = "1", StatusBranchGrade[[#This Row],[Key]], "")</f>
        <v>Wounded Warrior--GC-approved  /  Army  /  O-2</v>
      </c>
      <c r="L91" s="17" t="str">
        <f>IF(LEFT(StatusBranchGrade[[#This Row],[Which]], 1) = "1", StatusBranchGrade[[#This Row],[Key0]], "")</f>
        <v>Wounded Warrior--GC-approved  /  Army</v>
      </c>
      <c r="M91" s="17" t="str">
        <f>IF(RIGHT(StatusBranchGrade[[#This Row],[Which]], 1) = "2", StatusBranchGrade[[#This Row],[Key]], "")</f>
        <v>Wounded Warrior--GC-approved  /  Army  /  O-2</v>
      </c>
      <c r="N91" s="17" t="str">
        <f>IF(RIGHT(StatusBranchGrade[[#This Row],[Which]], 1) = "2", StatusBranchGrade[[#This Row],[Key0]], "")</f>
        <v>Wounded Warrior--GC-approved  /  Army</v>
      </c>
      <c r="O91" s="17" t="s">
        <v>299</v>
      </c>
      <c r="P91" s="17"/>
      <c r="Q91" s="63">
        <f>--ISNUMBER(IF(StatusBranchGrade[[#This Row],[Sponsor0]] = 'Calculation Worksheet'!$AV$6 &amp; "  /  " &amp; 'Calculation Worksheet'!$AV$7, 1, ""))</f>
        <v>0</v>
      </c>
      <c r="R91" s="63" t="str">
        <f>IF(StatusBranchGrade[[#This Row],[S1]] = 1, COUNTIF($Q$3:Q91, 1), "")</f>
        <v/>
      </c>
      <c r="S91" s="63" t="str">
        <f>IFERROR(INDEX(StatusBranchGrade[Rank/Grade], MATCH(ROWS($R$3:R91)-1, StatusBranchGrade[S2], 0)), "") &amp; ""</f>
        <v/>
      </c>
      <c r="T91" s="63">
        <f>--ISNUMBER(IF(StatusBranchGrade[[#This Row],[Spouse0]] = 'Calculation Worksheet'!$CG$6 &amp; "  /  " &amp; 'Calculation Worksheet'!$CG$7, 1, ""))</f>
        <v>0</v>
      </c>
      <c r="U91" s="63" t="str">
        <f>IF(StatusBranchGrade[[#This Row],[T1]] = 1, COUNTIF($T$3:T91, 1), "")</f>
        <v/>
      </c>
      <c r="V91" s="63" t="str">
        <f>IFERROR(INDEX(StatusBranchGrade[Rank/Grade], MATCH(ROWS($U$3:U91)-1, StatusBranchGrade[T2], 0)), "") &amp; ""</f>
        <v/>
      </c>
      <c r="W91" s="63"/>
    </row>
    <row r="92" spans="1:23" x14ac:dyDescent="0.25">
      <c r="A92">
        <v>4</v>
      </c>
      <c r="B92" t="s">
        <v>339</v>
      </c>
      <c r="C92" t="s">
        <v>180</v>
      </c>
      <c r="D92" s="75" t="s">
        <v>11</v>
      </c>
      <c r="E92" s="75" t="str">
        <f>IF(StatusBranchGrade[[#This Row],[Status]] = "CYS", "DoD", StatusBranchGrade[[#This Row],[Rank]] &amp; "")</f>
        <v>O2E</v>
      </c>
      <c r="F92" s="75" t="s">
        <v>90</v>
      </c>
      <c r="G92" s="75" t="str">
        <f>IF(StatusBranchGrade[[#This Row],[Rank]] = StatusBranchGrade[[#This Row],[Grade]], StatusBranchGrade[[#This Row],[Rank]], StatusBranchGrade[[#This Row],[Grade]] &amp; "/" &amp; StatusBranchGrade[[#This Row],[Rank]]) &amp; ""</f>
        <v>O-2/O2E</v>
      </c>
      <c r="H9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O-2/O2E</v>
      </c>
      <c r="I92" s="17" t="str">
        <f>SUBSTITUTE(SUBSTITUTE(SUBSTITUTE(StatusBranchGrade[[#This Row],[Status]] &amp; "  /  " &amp; StatusBranchGrade[[#This Row],[Branch]] &amp; ";", "  /  ;", ";"), "  /  ;", ";"), ";", "")</f>
        <v>Wounded Warrior--GC-approved  /  Army</v>
      </c>
      <c r="J92">
        <v>12</v>
      </c>
      <c r="K92" s="17" t="str">
        <f>IF(LEFT(StatusBranchGrade[[#This Row],[Which]], 1) = "1", StatusBranchGrade[[#This Row],[Key]], "")</f>
        <v>Wounded Warrior--GC-approved  /  Army  /  O-2/O2E</v>
      </c>
      <c r="L92" s="17" t="str">
        <f>IF(LEFT(StatusBranchGrade[[#This Row],[Which]], 1) = "1", StatusBranchGrade[[#This Row],[Key0]], "")</f>
        <v>Wounded Warrior--GC-approved  /  Army</v>
      </c>
      <c r="M92" s="17" t="str">
        <f>IF(RIGHT(StatusBranchGrade[[#This Row],[Which]], 1) = "2", StatusBranchGrade[[#This Row],[Key]], "")</f>
        <v>Wounded Warrior--GC-approved  /  Army  /  O-2/O2E</v>
      </c>
      <c r="N92" s="17" t="str">
        <f>IF(RIGHT(StatusBranchGrade[[#This Row],[Which]], 1) = "2", StatusBranchGrade[[#This Row],[Key0]], "")</f>
        <v>Wounded Warrior--GC-approved  /  Army</v>
      </c>
      <c r="O92" s="17" t="s">
        <v>299</v>
      </c>
      <c r="P92" s="17"/>
      <c r="Q92" s="63">
        <f>--ISNUMBER(IF(StatusBranchGrade[[#This Row],[Sponsor0]] = 'Calculation Worksheet'!$AV$6 &amp; "  /  " &amp; 'Calculation Worksheet'!$AV$7, 1, ""))</f>
        <v>0</v>
      </c>
      <c r="R92" s="63" t="str">
        <f>IF(StatusBranchGrade[[#This Row],[S1]] = 1, COUNTIF($Q$3:Q92, 1), "")</f>
        <v/>
      </c>
      <c r="S92" s="63" t="str">
        <f>IFERROR(INDEX(StatusBranchGrade[Rank/Grade], MATCH(ROWS($R$3:R92)-1, StatusBranchGrade[S2], 0)), "") &amp; ""</f>
        <v/>
      </c>
      <c r="T92" s="63">
        <f>--ISNUMBER(IF(StatusBranchGrade[[#This Row],[Spouse0]] = 'Calculation Worksheet'!$CG$6 &amp; "  /  " &amp; 'Calculation Worksheet'!$CG$7, 1, ""))</f>
        <v>0</v>
      </c>
      <c r="U92" s="63" t="str">
        <f>IF(StatusBranchGrade[[#This Row],[T1]] = 1, COUNTIF($T$3:T92, 1), "")</f>
        <v/>
      </c>
      <c r="V92" s="63" t="str">
        <f>IFERROR(INDEX(StatusBranchGrade[Rank/Grade], MATCH(ROWS($U$3:U92)-1, StatusBranchGrade[T2], 0)), "") &amp; ""</f>
        <v/>
      </c>
      <c r="W92" s="63"/>
    </row>
    <row r="93" spans="1:23" x14ac:dyDescent="0.25">
      <c r="A93">
        <v>4</v>
      </c>
      <c r="B93" t="s">
        <v>339</v>
      </c>
      <c r="C93" t="s">
        <v>180</v>
      </c>
      <c r="D93" t="s">
        <v>89</v>
      </c>
      <c r="E93" t="str">
        <f>IF(StatusBranchGrade[[#This Row],[Status]] = "CYS", "DoD", StatusBranchGrade[[#This Row],[Rank]] &amp; "")</f>
        <v>O-3</v>
      </c>
      <c r="F93" t="s">
        <v>89</v>
      </c>
      <c r="G93" t="str">
        <f>IF(StatusBranchGrade[[#This Row],[Rank]] = StatusBranchGrade[[#This Row],[Grade]], StatusBranchGrade[[#This Row],[Rank]], StatusBranchGrade[[#This Row],[Grade]] &amp; "/" &amp; StatusBranchGrade[[#This Row],[Rank]]) &amp; ""</f>
        <v>O-3</v>
      </c>
      <c r="H9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O-3</v>
      </c>
      <c r="I93" s="17" t="str">
        <f>SUBSTITUTE(SUBSTITUTE(SUBSTITUTE(StatusBranchGrade[[#This Row],[Status]] &amp; "  /  " &amp; StatusBranchGrade[[#This Row],[Branch]] &amp; ";", "  /  ;", ";"), "  /  ;", ";"), ";", "")</f>
        <v>Wounded Warrior--GC-approved  /  Army</v>
      </c>
      <c r="J93">
        <v>12</v>
      </c>
      <c r="K93" s="17" t="str">
        <f>IF(LEFT(StatusBranchGrade[[#This Row],[Which]], 1) = "1", StatusBranchGrade[[#This Row],[Key]], "")</f>
        <v>Wounded Warrior--GC-approved  /  Army  /  O-3</v>
      </c>
      <c r="L93" s="17" t="str">
        <f>IF(LEFT(StatusBranchGrade[[#This Row],[Which]], 1) = "1", StatusBranchGrade[[#This Row],[Key0]], "")</f>
        <v>Wounded Warrior--GC-approved  /  Army</v>
      </c>
      <c r="M93" s="17" t="str">
        <f>IF(RIGHT(StatusBranchGrade[[#This Row],[Which]], 1) = "2", StatusBranchGrade[[#This Row],[Key]], "")</f>
        <v>Wounded Warrior--GC-approved  /  Army  /  O-3</v>
      </c>
      <c r="N93" s="17" t="str">
        <f>IF(RIGHT(StatusBranchGrade[[#This Row],[Which]], 1) = "2", StatusBranchGrade[[#This Row],[Key0]], "")</f>
        <v>Wounded Warrior--GC-approved  /  Army</v>
      </c>
      <c r="O93" s="17" t="s">
        <v>299</v>
      </c>
      <c r="P93" s="17"/>
      <c r="Q93" s="63">
        <f>--ISNUMBER(IF(StatusBranchGrade[[#This Row],[Sponsor0]] = 'Calculation Worksheet'!$AV$6 &amp; "  /  " &amp; 'Calculation Worksheet'!$AV$7, 1, ""))</f>
        <v>0</v>
      </c>
      <c r="R93" s="63" t="str">
        <f>IF(StatusBranchGrade[[#This Row],[S1]] = 1, COUNTIF($Q$3:Q93, 1), "")</f>
        <v/>
      </c>
      <c r="S93" s="63" t="str">
        <f>IFERROR(INDEX(StatusBranchGrade[Rank/Grade], MATCH(ROWS($R$3:R93)-1, StatusBranchGrade[S2], 0)), "") &amp; ""</f>
        <v/>
      </c>
      <c r="T93" s="63">
        <f>--ISNUMBER(IF(StatusBranchGrade[[#This Row],[Spouse0]] = 'Calculation Worksheet'!$CG$6 &amp; "  /  " &amp; 'Calculation Worksheet'!$CG$7, 1, ""))</f>
        <v>0</v>
      </c>
      <c r="U93" s="63" t="str">
        <f>IF(StatusBranchGrade[[#This Row],[T1]] = 1, COUNTIF($T$3:T93, 1), "")</f>
        <v/>
      </c>
      <c r="V93" s="63" t="str">
        <f>IFERROR(INDEX(StatusBranchGrade[Rank/Grade], MATCH(ROWS($U$3:U93)-1, StatusBranchGrade[T2], 0)), "") &amp; ""</f>
        <v/>
      </c>
      <c r="W93" s="63"/>
    </row>
    <row r="94" spans="1:23" x14ac:dyDescent="0.25">
      <c r="A94">
        <v>4</v>
      </c>
      <c r="B94" t="s">
        <v>339</v>
      </c>
      <c r="C94" t="s">
        <v>180</v>
      </c>
      <c r="D94" s="75" t="s">
        <v>12</v>
      </c>
      <c r="E94" s="75" t="str">
        <f>IF(StatusBranchGrade[[#This Row],[Status]] = "CYS", "DoD", StatusBranchGrade[[#This Row],[Rank]] &amp; "")</f>
        <v>O3E</v>
      </c>
      <c r="F94" s="75" t="s">
        <v>89</v>
      </c>
      <c r="G94" s="75" t="str">
        <f>IF(StatusBranchGrade[[#This Row],[Rank]] = StatusBranchGrade[[#This Row],[Grade]], StatusBranchGrade[[#This Row],[Rank]], StatusBranchGrade[[#This Row],[Grade]] &amp; "/" &amp; StatusBranchGrade[[#This Row],[Rank]]) &amp; ""</f>
        <v>O-3/O3E</v>
      </c>
      <c r="H9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O-3/O3E</v>
      </c>
      <c r="I94" s="17" t="str">
        <f>SUBSTITUTE(SUBSTITUTE(SUBSTITUTE(StatusBranchGrade[[#This Row],[Status]] &amp; "  /  " &amp; StatusBranchGrade[[#This Row],[Branch]] &amp; ";", "  /  ;", ";"), "  /  ;", ";"), ";", "")</f>
        <v>Wounded Warrior--GC-approved  /  Army</v>
      </c>
      <c r="J94">
        <v>12</v>
      </c>
      <c r="K94" s="17" t="str">
        <f>IF(LEFT(StatusBranchGrade[[#This Row],[Which]], 1) = "1", StatusBranchGrade[[#This Row],[Key]], "")</f>
        <v>Wounded Warrior--GC-approved  /  Army  /  O-3/O3E</v>
      </c>
      <c r="L94" s="17" t="str">
        <f>IF(LEFT(StatusBranchGrade[[#This Row],[Which]], 1) = "1", StatusBranchGrade[[#This Row],[Key0]], "")</f>
        <v>Wounded Warrior--GC-approved  /  Army</v>
      </c>
      <c r="M94" s="17" t="str">
        <f>IF(RIGHT(StatusBranchGrade[[#This Row],[Which]], 1) = "2", StatusBranchGrade[[#This Row],[Key]], "")</f>
        <v>Wounded Warrior--GC-approved  /  Army  /  O-3/O3E</v>
      </c>
      <c r="N94" s="17" t="str">
        <f>IF(RIGHT(StatusBranchGrade[[#This Row],[Which]], 1) = "2", StatusBranchGrade[[#This Row],[Key0]], "")</f>
        <v>Wounded Warrior--GC-approved  /  Army</v>
      </c>
      <c r="O94" s="17" t="s">
        <v>299</v>
      </c>
      <c r="P94" s="17"/>
      <c r="Q94" s="63">
        <f>--ISNUMBER(IF(StatusBranchGrade[[#This Row],[Sponsor0]] = 'Calculation Worksheet'!$AV$6 &amp; "  /  " &amp; 'Calculation Worksheet'!$AV$7, 1, ""))</f>
        <v>0</v>
      </c>
      <c r="R94" s="63" t="str">
        <f>IF(StatusBranchGrade[[#This Row],[S1]] = 1, COUNTIF($Q$3:Q94, 1), "")</f>
        <v/>
      </c>
      <c r="S94" s="63" t="str">
        <f>IFERROR(INDEX(StatusBranchGrade[Rank/Grade], MATCH(ROWS($R$3:R94)-1, StatusBranchGrade[S2], 0)), "") &amp; ""</f>
        <v/>
      </c>
      <c r="T94" s="63">
        <f>--ISNUMBER(IF(StatusBranchGrade[[#This Row],[Spouse0]] = 'Calculation Worksheet'!$CG$6 &amp; "  /  " &amp; 'Calculation Worksheet'!$CG$7, 1, ""))</f>
        <v>0</v>
      </c>
      <c r="U94" s="63" t="str">
        <f>IF(StatusBranchGrade[[#This Row],[T1]] = 1, COUNTIF($T$3:T94, 1), "")</f>
        <v/>
      </c>
      <c r="V94" s="63" t="str">
        <f>IFERROR(INDEX(StatusBranchGrade[Rank/Grade], MATCH(ROWS($U$3:U94)-1, StatusBranchGrade[T2], 0)), "") &amp; ""</f>
        <v/>
      </c>
      <c r="W94" s="63"/>
    </row>
    <row r="95" spans="1:23" x14ac:dyDescent="0.25">
      <c r="A95">
        <v>4</v>
      </c>
      <c r="B95" t="s">
        <v>339</v>
      </c>
      <c r="C95" t="s">
        <v>180</v>
      </c>
      <c r="D95" t="s">
        <v>88</v>
      </c>
      <c r="E95" t="str">
        <f>IF(StatusBranchGrade[[#This Row],[Status]] = "CYS", "DoD", StatusBranchGrade[[#This Row],[Rank]] &amp; "")</f>
        <v>O-4</v>
      </c>
      <c r="F95" t="s">
        <v>88</v>
      </c>
      <c r="G95" t="str">
        <f>IF(StatusBranchGrade[[#This Row],[Rank]] = StatusBranchGrade[[#This Row],[Grade]], StatusBranchGrade[[#This Row],[Rank]], StatusBranchGrade[[#This Row],[Grade]] &amp; "/" &amp; StatusBranchGrade[[#This Row],[Rank]]) &amp; ""</f>
        <v>O-4</v>
      </c>
      <c r="H9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O-4</v>
      </c>
      <c r="I95" s="17" t="str">
        <f>SUBSTITUTE(SUBSTITUTE(SUBSTITUTE(StatusBranchGrade[[#This Row],[Status]] &amp; "  /  " &amp; StatusBranchGrade[[#This Row],[Branch]] &amp; ";", "  /  ;", ";"), "  /  ;", ";"), ";", "")</f>
        <v>Wounded Warrior--GC-approved  /  Army</v>
      </c>
      <c r="J95">
        <v>12</v>
      </c>
      <c r="K95" s="17" t="str">
        <f>IF(LEFT(StatusBranchGrade[[#This Row],[Which]], 1) = "1", StatusBranchGrade[[#This Row],[Key]], "")</f>
        <v>Wounded Warrior--GC-approved  /  Army  /  O-4</v>
      </c>
      <c r="L95" s="17" t="str">
        <f>IF(LEFT(StatusBranchGrade[[#This Row],[Which]], 1) = "1", StatusBranchGrade[[#This Row],[Key0]], "")</f>
        <v>Wounded Warrior--GC-approved  /  Army</v>
      </c>
      <c r="M95" s="17" t="str">
        <f>IF(RIGHT(StatusBranchGrade[[#This Row],[Which]], 1) = "2", StatusBranchGrade[[#This Row],[Key]], "")</f>
        <v>Wounded Warrior--GC-approved  /  Army  /  O-4</v>
      </c>
      <c r="N95" s="17" t="str">
        <f>IF(RIGHT(StatusBranchGrade[[#This Row],[Which]], 1) = "2", StatusBranchGrade[[#This Row],[Key0]], "")</f>
        <v>Wounded Warrior--GC-approved  /  Army</v>
      </c>
      <c r="O95" s="17" t="s">
        <v>299</v>
      </c>
      <c r="P95" s="17"/>
      <c r="Q95" s="63">
        <f>--ISNUMBER(IF(StatusBranchGrade[[#This Row],[Sponsor0]] = 'Calculation Worksheet'!$AV$6 &amp; "  /  " &amp; 'Calculation Worksheet'!$AV$7, 1, ""))</f>
        <v>0</v>
      </c>
      <c r="R95" s="63" t="str">
        <f>IF(StatusBranchGrade[[#This Row],[S1]] = 1, COUNTIF($Q$3:Q95, 1), "")</f>
        <v/>
      </c>
      <c r="S95" s="63" t="str">
        <f>IFERROR(INDEX(StatusBranchGrade[Rank/Grade], MATCH(ROWS($R$3:R95)-1, StatusBranchGrade[S2], 0)), "") &amp; ""</f>
        <v/>
      </c>
      <c r="T95" s="63">
        <f>--ISNUMBER(IF(StatusBranchGrade[[#This Row],[Spouse0]] = 'Calculation Worksheet'!$CG$6 &amp; "  /  " &amp; 'Calculation Worksheet'!$CG$7, 1, ""))</f>
        <v>0</v>
      </c>
      <c r="U95" s="63" t="str">
        <f>IF(StatusBranchGrade[[#This Row],[T1]] = 1, COUNTIF($T$3:T95, 1), "")</f>
        <v/>
      </c>
      <c r="V95" s="63" t="str">
        <f>IFERROR(INDEX(StatusBranchGrade[Rank/Grade], MATCH(ROWS($U$3:U95)-1, StatusBranchGrade[T2], 0)), "") &amp; ""</f>
        <v/>
      </c>
      <c r="W95" s="63"/>
    </row>
    <row r="96" spans="1:23" x14ac:dyDescent="0.25">
      <c r="A96">
        <v>4</v>
      </c>
      <c r="B96" t="s">
        <v>339</v>
      </c>
      <c r="C96" t="s">
        <v>180</v>
      </c>
      <c r="D96" t="s">
        <v>87</v>
      </c>
      <c r="E96" t="str">
        <f>IF(StatusBranchGrade[[#This Row],[Status]] = "CYS", "DoD", StatusBranchGrade[[#This Row],[Rank]] &amp; "")</f>
        <v>O-5</v>
      </c>
      <c r="F96" t="s">
        <v>87</v>
      </c>
      <c r="G96" t="str">
        <f>IF(StatusBranchGrade[[#This Row],[Rank]] = StatusBranchGrade[[#This Row],[Grade]], StatusBranchGrade[[#This Row],[Rank]], StatusBranchGrade[[#This Row],[Grade]] &amp; "/" &amp; StatusBranchGrade[[#This Row],[Rank]]) &amp; ""</f>
        <v>O-5</v>
      </c>
      <c r="H9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O-5</v>
      </c>
      <c r="I96" s="17" t="str">
        <f>SUBSTITUTE(SUBSTITUTE(SUBSTITUTE(StatusBranchGrade[[#This Row],[Status]] &amp; "  /  " &amp; StatusBranchGrade[[#This Row],[Branch]] &amp; ";", "  /  ;", ";"), "  /  ;", ";"), ";", "")</f>
        <v>Wounded Warrior--GC-approved  /  Army</v>
      </c>
      <c r="J96">
        <v>12</v>
      </c>
      <c r="K96" s="17" t="str">
        <f>IF(LEFT(StatusBranchGrade[[#This Row],[Which]], 1) = "1", StatusBranchGrade[[#This Row],[Key]], "")</f>
        <v>Wounded Warrior--GC-approved  /  Army  /  O-5</v>
      </c>
      <c r="L96" s="17" t="str">
        <f>IF(LEFT(StatusBranchGrade[[#This Row],[Which]], 1) = "1", StatusBranchGrade[[#This Row],[Key0]], "")</f>
        <v>Wounded Warrior--GC-approved  /  Army</v>
      </c>
      <c r="M96" s="17" t="str">
        <f>IF(RIGHT(StatusBranchGrade[[#This Row],[Which]], 1) = "2", StatusBranchGrade[[#This Row],[Key]], "")</f>
        <v>Wounded Warrior--GC-approved  /  Army  /  O-5</v>
      </c>
      <c r="N96" s="17" t="str">
        <f>IF(RIGHT(StatusBranchGrade[[#This Row],[Which]], 1) = "2", StatusBranchGrade[[#This Row],[Key0]], "")</f>
        <v>Wounded Warrior--GC-approved  /  Army</v>
      </c>
      <c r="O96" s="17" t="s">
        <v>299</v>
      </c>
      <c r="P96" s="17"/>
      <c r="Q96" s="63">
        <f>--ISNUMBER(IF(StatusBranchGrade[[#This Row],[Sponsor0]] = 'Calculation Worksheet'!$AV$6 &amp; "  /  " &amp; 'Calculation Worksheet'!$AV$7, 1, ""))</f>
        <v>0</v>
      </c>
      <c r="R96" s="63" t="str">
        <f>IF(StatusBranchGrade[[#This Row],[S1]] = 1, COUNTIF($Q$3:Q96, 1), "")</f>
        <v/>
      </c>
      <c r="S96" s="63" t="str">
        <f>IFERROR(INDEX(StatusBranchGrade[Rank/Grade], MATCH(ROWS($R$3:R96)-1, StatusBranchGrade[S2], 0)), "") &amp; ""</f>
        <v/>
      </c>
      <c r="T96" s="63">
        <f>--ISNUMBER(IF(StatusBranchGrade[[#This Row],[Spouse0]] = 'Calculation Worksheet'!$CG$6 &amp; "  /  " &amp; 'Calculation Worksheet'!$CG$7, 1, ""))</f>
        <v>0</v>
      </c>
      <c r="U96" s="63" t="str">
        <f>IF(StatusBranchGrade[[#This Row],[T1]] = 1, COUNTIF($T$3:T96, 1), "")</f>
        <v/>
      </c>
      <c r="V96" s="63" t="str">
        <f>IFERROR(INDEX(StatusBranchGrade[Rank/Grade], MATCH(ROWS($U$3:U96)-1, StatusBranchGrade[T2], 0)), "") &amp; ""</f>
        <v/>
      </c>
      <c r="W96" s="63"/>
    </row>
    <row r="97" spans="1:23" x14ac:dyDescent="0.25">
      <c r="A97">
        <v>4</v>
      </c>
      <c r="B97" t="s">
        <v>339</v>
      </c>
      <c r="C97" t="s">
        <v>180</v>
      </c>
      <c r="D97" t="s">
        <v>86</v>
      </c>
      <c r="E97" t="str">
        <f>IF(StatusBranchGrade[[#This Row],[Status]] = "CYS", "DoD", StatusBranchGrade[[#This Row],[Rank]] &amp; "")</f>
        <v>O-6</v>
      </c>
      <c r="F97" t="s">
        <v>86</v>
      </c>
      <c r="G97" t="str">
        <f>IF(StatusBranchGrade[[#This Row],[Rank]] = StatusBranchGrade[[#This Row],[Grade]], StatusBranchGrade[[#This Row],[Rank]], StatusBranchGrade[[#This Row],[Grade]] &amp; "/" &amp; StatusBranchGrade[[#This Row],[Rank]]) &amp; ""</f>
        <v>O-6</v>
      </c>
      <c r="H9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O-6</v>
      </c>
      <c r="I97" s="17" t="str">
        <f>SUBSTITUTE(SUBSTITUTE(SUBSTITUTE(StatusBranchGrade[[#This Row],[Status]] &amp; "  /  " &amp; StatusBranchGrade[[#This Row],[Branch]] &amp; ";", "  /  ;", ";"), "  /  ;", ";"), ";", "")</f>
        <v>Wounded Warrior--GC-approved  /  Army</v>
      </c>
      <c r="J97">
        <v>12</v>
      </c>
      <c r="K97" s="17" t="str">
        <f>IF(LEFT(StatusBranchGrade[[#This Row],[Which]], 1) = "1", StatusBranchGrade[[#This Row],[Key]], "")</f>
        <v>Wounded Warrior--GC-approved  /  Army  /  O-6</v>
      </c>
      <c r="L97" s="17" t="str">
        <f>IF(LEFT(StatusBranchGrade[[#This Row],[Which]], 1) = "1", StatusBranchGrade[[#This Row],[Key0]], "")</f>
        <v>Wounded Warrior--GC-approved  /  Army</v>
      </c>
      <c r="M97" s="17" t="str">
        <f>IF(RIGHT(StatusBranchGrade[[#This Row],[Which]], 1) = "2", StatusBranchGrade[[#This Row],[Key]], "")</f>
        <v>Wounded Warrior--GC-approved  /  Army  /  O-6</v>
      </c>
      <c r="N97" s="17" t="str">
        <f>IF(RIGHT(StatusBranchGrade[[#This Row],[Which]], 1) = "2", StatusBranchGrade[[#This Row],[Key0]], "")</f>
        <v>Wounded Warrior--GC-approved  /  Army</v>
      </c>
      <c r="O97" s="17" t="s">
        <v>299</v>
      </c>
      <c r="P97" s="17"/>
      <c r="Q97" s="63">
        <f>--ISNUMBER(IF(StatusBranchGrade[[#This Row],[Sponsor0]] = 'Calculation Worksheet'!$AV$6 &amp; "  /  " &amp; 'Calculation Worksheet'!$AV$7, 1, ""))</f>
        <v>0</v>
      </c>
      <c r="R97" s="63" t="str">
        <f>IF(StatusBranchGrade[[#This Row],[S1]] = 1, COUNTIF($Q$3:Q97, 1), "")</f>
        <v/>
      </c>
      <c r="S97" s="63" t="str">
        <f>IFERROR(INDEX(StatusBranchGrade[Rank/Grade], MATCH(ROWS($R$3:R97)-1, StatusBranchGrade[S2], 0)), "") &amp; ""</f>
        <v/>
      </c>
      <c r="T97" s="63">
        <f>--ISNUMBER(IF(StatusBranchGrade[[#This Row],[Spouse0]] = 'Calculation Worksheet'!$CG$6 &amp; "  /  " &amp; 'Calculation Worksheet'!$CG$7, 1, ""))</f>
        <v>0</v>
      </c>
      <c r="U97" s="63" t="str">
        <f>IF(StatusBranchGrade[[#This Row],[T1]] = 1, COUNTIF($T$3:T97, 1), "")</f>
        <v/>
      </c>
      <c r="V97" s="63" t="str">
        <f>IFERROR(INDEX(StatusBranchGrade[Rank/Grade], MATCH(ROWS($U$3:U97)-1, StatusBranchGrade[T2], 0)), "") &amp; ""</f>
        <v/>
      </c>
      <c r="W97" s="63"/>
    </row>
    <row r="98" spans="1:23" x14ac:dyDescent="0.25">
      <c r="A98">
        <v>4</v>
      </c>
      <c r="B98" t="s">
        <v>339</v>
      </c>
      <c r="C98" t="s">
        <v>180</v>
      </c>
      <c r="D98" t="s">
        <v>85</v>
      </c>
      <c r="E98" t="str">
        <f>IF(StatusBranchGrade[[#This Row],[Status]] = "CYS", "DoD", StatusBranchGrade[[#This Row],[Rank]] &amp; "")</f>
        <v>O-7</v>
      </c>
      <c r="F98" t="s">
        <v>85</v>
      </c>
      <c r="G98" t="str">
        <f>IF(StatusBranchGrade[[#This Row],[Rank]] = StatusBranchGrade[[#This Row],[Grade]], StatusBranchGrade[[#This Row],[Rank]], StatusBranchGrade[[#This Row],[Grade]] &amp; "/" &amp; StatusBranchGrade[[#This Row],[Rank]]) &amp; ""</f>
        <v>O-7</v>
      </c>
      <c r="H9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O-7</v>
      </c>
      <c r="I98" s="17" t="str">
        <f>SUBSTITUTE(SUBSTITUTE(SUBSTITUTE(StatusBranchGrade[[#This Row],[Status]] &amp; "  /  " &amp; StatusBranchGrade[[#This Row],[Branch]] &amp; ";", "  /  ;", ";"), "  /  ;", ";"), ";", "")</f>
        <v>Wounded Warrior--GC-approved  /  Army</v>
      </c>
      <c r="J98">
        <v>12</v>
      </c>
      <c r="K98" s="17" t="str">
        <f>IF(LEFT(StatusBranchGrade[[#This Row],[Which]], 1) = "1", StatusBranchGrade[[#This Row],[Key]], "")</f>
        <v>Wounded Warrior--GC-approved  /  Army  /  O-7</v>
      </c>
      <c r="L98" s="17" t="str">
        <f>IF(LEFT(StatusBranchGrade[[#This Row],[Which]], 1) = "1", StatusBranchGrade[[#This Row],[Key0]], "")</f>
        <v>Wounded Warrior--GC-approved  /  Army</v>
      </c>
      <c r="M98" s="17" t="str">
        <f>IF(RIGHT(StatusBranchGrade[[#This Row],[Which]], 1) = "2", StatusBranchGrade[[#This Row],[Key]], "")</f>
        <v>Wounded Warrior--GC-approved  /  Army  /  O-7</v>
      </c>
      <c r="N98" s="17" t="str">
        <f>IF(RIGHT(StatusBranchGrade[[#This Row],[Which]], 1) = "2", StatusBranchGrade[[#This Row],[Key0]], "")</f>
        <v>Wounded Warrior--GC-approved  /  Army</v>
      </c>
      <c r="O98" s="17" t="s">
        <v>299</v>
      </c>
      <c r="P98" s="17"/>
      <c r="Q98" s="63">
        <f>--ISNUMBER(IF(StatusBranchGrade[[#This Row],[Sponsor0]] = 'Calculation Worksheet'!$AV$6 &amp; "  /  " &amp; 'Calculation Worksheet'!$AV$7, 1, ""))</f>
        <v>0</v>
      </c>
      <c r="R98" s="63" t="str">
        <f>IF(StatusBranchGrade[[#This Row],[S1]] = 1, COUNTIF($Q$3:Q98, 1), "")</f>
        <v/>
      </c>
      <c r="S98" s="63" t="str">
        <f>IFERROR(INDEX(StatusBranchGrade[Rank/Grade], MATCH(ROWS($R$3:R98)-1, StatusBranchGrade[S2], 0)), "") &amp; ""</f>
        <v/>
      </c>
      <c r="T98" s="63">
        <f>--ISNUMBER(IF(StatusBranchGrade[[#This Row],[Spouse0]] = 'Calculation Worksheet'!$CG$6 &amp; "  /  " &amp; 'Calculation Worksheet'!$CG$7, 1, ""))</f>
        <v>0</v>
      </c>
      <c r="U98" s="63" t="str">
        <f>IF(StatusBranchGrade[[#This Row],[T1]] = 1, COUNTIF($T$3:T98, 1), "")</f>
        <v/>
      </c>
      <c r="V98" s="63" t="str">
        <f>IFERROR(INDEX(StatusBranchGrade[Rank/Grade], MATCH(ROWS($U$3:U98)-1, StatusBranchGrade[T2], 0)), "") &amp; ""</f>
        <v/>
      </c>
      <c r="W98" s="63"/>
    </row>
    <row r="99" spans="1:23" x14ac:dyDescent="0.25">
      <c r="A99">
        <v>4</v>
      </c>
      <c r="B99" t="s">
        <v>339</v>
      </c>
      <c r="C99" t="s">
        <v>180</v>
      </c>
      <c r="D99" t="s">
        <v>84</v>
      </c>
      <c r="E99" t="str">
        <f>IF(StatusBranchGrade[[#This Row],[Status]] = "CYS", "DoD", StatusBranchGrade[[#This Row],[Rank]] &amp; "")</f>
        <v>O-8</v>
      </c>
      <c r="F99" t="s">
        <v>84</v>
      </c>
      <c r="G99" t="str">
        <f>IF(StatusBranchGrade[[#This Row],[Rank]] = StatusBranchGrade[[#This Row],[Grade]], StatusBranchGrade[[#This Row],[Rank]], StatusBranchGrade[[#This Row],[Grade]] &amp; "/" &amp; StatusBranchGrade[[#This Row],[Rank]]) &amp; ""</f>
        <v>O-8</v>
      </c>
      <c r="H9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O-8</v>
      </c>
      <c r="I99" s="17" t="str">
        <f>SUBSTITUTE(SUBSTITUTE(SUBSTITUTE(StatusBranchGrade[[#This Row],[Status]] &amp; "  /  " &amp; StatusBranchGrade[[#This Row],[Branch]] &amp; ";", "  /  ;", ";"), "  /  ;", ";"), ";", "")</f>
        <v>Wounded Warrior--GC-approved  /  Army</v>
      </c>
      <c r="J99">
        <v>12</v>
      </c>
      <c r="K99" s="17" t="str">
        <f>IF(LEFT(StatusBranchGrade[[#This Row],[Which]], 1) = "1", StatusBranchGrade[[#This Row],[Key]], "")</f>
        <v>Wounded Warrior--GC-approved  /  Army  /  O-8</v>
      </c>
      <c r="L99" s="17" t="str">
        <f>IF(LEFT(StatusBranchGrade[[#This Row],[Which]], 1) = "1", StatusBranchGrade[[#This Row],[Key0]], "")</f>
        <v>Wounded Warrior--GC-approved  /  Army</v>
      </c>
      <c r="M99" s="17" t="str">
        <f>IF(RIGHT(StatusBranchGrade[[#This Row],[Which]], 1) = "2", StatusBranchGrade[[#This Row],[Key]], "")</f>
        <v>Wounded Warrior--GC-approved  /  Army  /  O-8</v>
      </c>
      <c r="N99" s="17" t="str">
        <f>IF(RIGHT(StatusBranchGrade[[#This Row],[Which]], 1) = "2", StatusBranchGrade[[#This Row],[Key0]], "")</f>
        <v>Wounded Warrior--GC-approved  /  Army</v>
      </c>
      <c r="O99" s="17" t="s">
        <v>299</v>
      </c>
      <c r="P99" s="17"/>
      <c r="Q99" s="63">
        <f>--ISNUMBER(IF(StatusBranchGrade[[#This Row],[Sponsor0]] = 'Calculation Worksheet'!$AV$6 &amp; "  /  " &amp; 'Calculation Worksheet'!$AV$7, 1, ""))</f>
        <v>0</v>
      </c>
      <c r="R99" s="63" t="str">
        <f>IF(StatusBranchGrade[[#This Row],[S1]] = 1, COUNTIF($Q$3:Q99, 1), "")</f>
        <v/>
      </c>
      <c r="S99" s="63" t="str">
        <f>IFERROR(INDEX(StatusBranchGrade[Rank/Grade], MATCH(ROWS($R$3:R99)-1, StatusBranchGrade[S2], 0)), "") &amp; ""</f>
        <v/>
      </c>
      <c r="T99" s="63">
        <f>--ISNUMBER(IF(StatusBranchGrade[[#This Row],[Spouse0]] = 'Calculation Worksheet'!$CG$6 &amp; "  /  " &amp; 'Calculation Worksheet'!$CG$7, 1, ""))</f>
        <v>0</v>
      </c>
      <c r="U99" s="63" t="str">
        <f>IF(StatusBranchGrade[[#This Row],[T1]] = 1, COUNTIF($T$3:T99, 1), "")</f>
        <v/>
      </c>
      <c r="V99" s="63" t="str">
        <f>IFERROR(INDEX(StatusBranchGrade[Rank/Grade], MATCH(ROWS($U$3:U99)-1, StatusBranchGrade[T2], 0)), "") &amp; ""</f>
        <v/>
      </c>
      <c r="W99" s="63"/>
    </row>
    <row r="100" spans="1:23" x14ac:dyDescent="0.25">
      <c r="A100">
        <v>4</v>
      </c>
      <c r="B100" t="s">
        <v>339</v>
      </c>
      <c r="C100" t="s">
        <v>180</v>
      </c>
      <c r="D100" t="s">
        <v>83</v>
      </c>
      <c r="E100" t="str">
        <f>IF(StatusBranchGrade[[#This Row],[Status]] = "CYS", "DoD", StatusBranchGrade[[#This Row],[Rank]] &amp; "")</f>
        <v>O-9</v>
      </c>
      <c r="F100" t="s">
        <v>83</v>
      </c>
      <c r="G100" t="str">
        <f>IF(StatusBranchGrade[[#This Row],[Rank]] = StatusBranchGrade[[#This Row],[Grade]], StatusBranchGrade[[#This Row],[Rank]], StatusBranchGrade[[#This Row],[Grade]] &amp; "/" &amp; StatusBranchGrade[[#This Row],[Rank]]) &amp; ""</f>
        <v>O-9</v>
      </c>
      <c r="H10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O-9</v>
      </c>
      <c r="I100" s="17" t="str">
        <f>SUBSTITUTE(SUBSTITUTE(SUBSTITUTE(StatusBranchGrade[[#This Row],[Status]] &amp; "  /  " &amp; StatusBranchGrade[[#This Row],[Branch]] &amp; ";", "  /  ;", ";"), "  /  ;", ";"), ";", "")</f>
        <v>Wounded Warrior--GC-approved  /  Army</v>
      </c>
      <c r="J100">
        <v>12</v>
      </c>
      <c r="K100" s="17" t="str">
        <f>IF(LEFT(StatusBranchGrade[[#This Row],[Which]], 1) = "1", StatusBranchGrade[[#This Row],[Key]], "")</f>
        <v>Wounded Warrior--GC-approved  /  Army  /  O-9</v>
      </c>
      <c r="L100" s="17" t="str">
        <f>IF(LEFT(StatusBranchGrade[[#This Row],[Which]], 1) = "1", StatusBranchGrade[[#This Row],[Key0]], "")</f>
        <v>Wounded Warrior--GC-approved  /  Army</v>
      </c>
      <c r="M100" s="17" t="str">
        <f>IF(RIGHT(StatusBranchGrade[[#This Row],[Which]], 1) = "2", StatusBranchGrade[[#This Row],[Key]], "")</f>
        <v>Wounded Warrior--GC-approved  /  Army  /  O-9</v>
      </c>
      <c r="N100" s="17" t="str">
        <f>IF(RIGHT(StatusBranchGrade[[#This Row],[Which]], 1) = "2", StatusBranchGrade[[#This Row],[Key0]], "")</f>
        <v>Wounded Warrior--GC-approved  /  Army</v>
      </c>
      <c r="O100" s="17" t="s">
        <v>299</v>
      </c>
      <c r="P100" s="17"/>
      <c r="Q100" s="63">
        <f>--ISNUMBER(IF(StatusBranchGrade[[#This Row],[Sponsor0]] = 'Calculation Worksheet'!$AV$6 &amp; "  /  " &amp; 'Calculation Worksheet'!$AV$7, 1, ""))</f>
        <v>0</v>
      </c>
      <c r="R100" s="63" t="str">
        <f>IF(StatusBranchGrade[[#This Row],[S1]] = 1, COUNTIF($Q$3:Q100, 1), "")</f>
        <v/>
      </c>
      <c r="S100" s="63" t="str">
        <f>IFERROR(INDEX(StatusBranchGrade[Rank/Grade], MATCH(ROWS($R$3:R100)-1, StatusBranchGrade[S2], 0)), "") &amp; ""</f>
        <v/>
      </c>
      <c r="T100" s="63">
        <f>--ISNUMBER(IF(StatusBranchGrade[[#This Row],[Spouse0]] = 'Calculation Worksheet'!$CG$6 &amp; "  /  " &amp; 'Calculation Worksheet'!$CG$7, 1, ""))</f>
        <v>0</v>
      </c>
      <c r="U100" s="63" t="str">
        <f>IF(StatusBranchGrade[[#This Row],[T1]] = 1, COUNTIF($T$3:T100, 1), "")</f>
        <v/>
      </c>
      <c r="V100" s="63" t="str">
        <f>IFERROR(INDEX(StatusBranchGrade[Rank/Grade], MATCH(ROWS($U$3:U100)-1, StatusBranchGrade[T2], 0)), "") &amp; ""</f>
        <v/>
      </c>
      <c r="W100" s="63"/>
    </row>
    <row r="101" spans="1:23" x14ac:dyDescent="0.25">
      <c r="A101">
        <v>4</v>
      </c>
      <c r="B101" t="s">
        <v>339</v>
      </c>
      <c r="C101" t="s">
        <v>180</v>
      </c>
      <c r="D101" t="s">
        <v>96</v>
      </c>
      <c r="E101" t="str">
        <f>IF(StatusBranchGrade[[#This Row],[Status]] = "CYS", "DoD", StatusBranchGrade[[#This Row],[Rank]] &amp; "")</f>
        <v>W-1</v>
      </c>
      <c r="F101" t="s">
        <v>179</v>
      </c>
      <c r="G101" t="str">
        <f>IF(StatusBranchGrade[[#This Row],[Rank]] = StatusBranchGrade[[#This Row],[Grade]], StatusBranchGrade[[#This Row],[Rank]], StatusBranchGrade[[#This Row],[Grade]] &amp; "/" &amp; StatusBranchGrade[[#This Row],[Rank]]) &amp; ""</f>
        <v>WO1/W-1</v>
      </c>
      <c r="H10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Army  /  WO1/W-1</v>
      </c>
      <c r="I101" s="17" t="str">
        <f>SUBSTITUTE(SUBSTITUTE(SUBSTITUTE(StatusBranchGrade[[#This Row],[Status]] &amp; "  /  " &amp; StatusBranchGrade[[#This Row],[Branch]] &amp; ";", "  /  ;", ";"), "  /  ;", ";"), ";", "")</f>
        <v>Wounded Warrior--GC-approved  /  Army</v>
      </c>
      <c r="J101">
        <v>12</v>
      </c>
      <c r="K101" s="17" t="str">
        <f>IF(LEFT(StatusBranchGrade[[#This Row],[Which]], 1) = "1", StatusBranchGrade[[#This Row],[Key]], "")</f>
        <v>Wounded Warrior--GC-approved  /  Army  /  WO1/W-1</v>
      </c>
      <c r="L101" s="17" t="str">
        <f>IF(LEFT(StatusBranchGrade[[#This Row],[Which]], 1) = "1", StatusBranchGrade[[#This Row],[Key0]], "")</f>
        <v>Wounded Warrior--GC-approved  /  Army</v>
      </c>
      <c r="M101" s="17" t="str">
        <f>IF(RIGHT(StatusBranchGrade[[#This Row],[Which]], 1) = "2", StatusBranchGrade[[#This Row],[Key]], "")</f>
        <v>Wounded Warrior--GC-approved  /  Army  /  WO1/W-1</v>
      </c>
      <c r="N101" s="17" t="str">
        <f>IF(RIGHT(StatusBranchGrade[[#This Row],[Which]], 1) = "2", StatusBranchGrade[[#This Row],[Key0]], "")</f>
        <v>Wounded Warrior--GC-approved  /  Army</v>
      </c>
      <c r="O101" s="17" t="s">
        <v>299</v>
      </c>
      <c r="P101" s="17"/>
      <c r="Q101" s="63">
        <f>--ISNUMBER(IF(StatusBranchGrade[[#This Row],[Sponsor0]] = 'Calculation Worksheet'!$AV$6 &amp; "  /  " &amp; 'Calculation Worksheet'!$AV$7, 1, ""))</f>
        <v>0</v>
      </c>
      <c r="R101" s="63" t="str">
        <f>IF(StatusBranchGrade[[#This Row],[S1]] = 1, COUNTIF($Q$3:Q101, 1), "")</f>
        <v/>
      </c>
      <c r="S101" s="63" t="str">
        <f>IFERROR(INDEX(StatusBranchGrade[Rank/Grade], MATCH(ROWS($R$3:R101)-1, StatusBranchGrade[S2], 0)), "") &amp; ""</f>
        <v/>
      </c>
      <c r="T101" s="63">
        <f>--ISNUMBER(IF(StatusBranchGrade[[#This Row],[Spouse0]] = 'Calculation Worksheet'!$CG$6 &amp; "  /  " &amp; 'Calculation Worksheet'!$CG$7, 1, ""))</f>
        <v>0</v>
      </c>
      <c r="U101" s="63" t="str">
        <f>IF(StatusBranchGrade[[#This Row],[T1]] = 1, COUNTIF($T$3:T101, 1), "")</f>
        <v/>
      </c>
      <c r="V101" s="63" t="str">
        <f>IFERROR(INDEX(StatusBranchGrade[Rank/Grade], MATCH(ROWS($U$3:U101)-1, StatusBranchGrade[T2], 0)), "") &amp; ""</f>
        <v/>
      </c>
      <c r="W101" s="63"/>
    </row>
    <row r="102" spans="1:23" x14ac:dyDescent="0.25">
      <c r="A102">
        <v>4</v>
      </c>
      <c r="B102" t="s">
        <v>339</v>
      </c>
      <c r="C102" t="s">
        <v>181</v>
      </c>
      <c r="D102" t="s">
        <v>105</v>
      </c>
      <c r="E102" t="str">
        <f>IF(StatusBranchGrade[[#This Row],[Status]] = "CYS", "DoD", StatusBranchGrade[[#This Row],[Rank]] &amp; "")</f>
        <v>E-1</v>
      </c>
      <c r="F102" t="s">
        <v>105</v>
      </c>
      <c r="G102" t="str">
        <f>IF(StatusBranchGrade[[#This Row],[Rank]] = StatusBranchGrade[[#This Row],[Grade]], StatusBranchGrade[[#This Row],[Rank]], StatusBranchGrade[[#This Row],[Grade]] &amp; "/" &amp; StatusBranchGrade[[#This Row],[Rank]]) &amp; ""</f>
        <v>E-1</v>
      </c>
      <c r="H10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E-1</v>
      </c>
      <c r="I102" s="17" t="str">
        <f>SUBSTITUTE(SUBSTITUTE(SUBSTITUTE(StatusBranchGrade[[#This Row],[Status]] &amp; "  /  " &amp; StatusBranchGrade[[#This Row],[Branch]] &amp; ";", "  /  ;", ";"), "  /  ;", ";"), ";", "")</f>
        <v>Wounded Warrior--GC-approved  /  Marines</v>
      </c>
      <c r="J102">
        <v>12</v>
      </c>
      <c r="K102" s="17" t="str">
        <f>IF(LEFT(StatusBranchGrade[[#This Row],[Which]], 1) = "1", StatusBranchGrade[[#This Row],[Key]], "")</f>
        <v>Wounded Warrior--GC-approved  /  Marines  /  E-1</v>
      </c>
      <c r="L102" s="17" t="str">
        <f>IF(LEFT(StatusBranchGrade[[#This Row],[Which]], 1) = "1", StatusBranchGrade[[#This Row],[Key0]], "")</f>
        <v>Wounded Warrior--GC-approved  /  Marines</v>
      </c>
      <c r="M102" s="17" t="str">
        <f>IF(RIGHT(StatusBranchGrade[[#This Row],[Which]], 1) = "2", StatusBranchGrade[[#This Row],[Key]], "")</f>
        <v>Wounded Warrior--GC-approved  /  Marines  /  E-1</v>
      </c>
      <c r="N102" s="17" t="str">
        <f>IF(RIGHT(StatusBranchGrade[[#This Row],[Which]], 1) = "2", StatusBranchGrade[[#This Row],[Key0]], "")</f>
        <v>Wounded Warrior--GC-approved  /  Marines</v>
      </c>
      <c r="O102" s="17" t="s">
        <v>299</v>
      </c>
      <c r="P102" s="17"/>
      <c r="Q102" s="63">
        <f>--ISNUMBER(IF(StatusBranchGrade[[#This Row],[Sponsor0]] = 'Calculation Worksheet'!$AV$6 &amp; "  /  " &amp; 'Calculation Worksheet'!$AV$7, 1, ""))</f>
        <v>0</v>
      </c>
      <c r="R102" s="63" t="str">
        <f>IF(StatusBranchGrade[[#This Row],[S1]] = 1, COUNTIF($Q$3:Q102, 1), "")</f>
        <v/>
      </c>
      <c r="S102" s="63" t="str">
        <f>IFERROR(INDEX(StatusBranchGrade[Rank/Grade], MATCH(ROWS($R$3:R102)-1, StatusBranchGrade[S2], 0)), "") &amp; ""</f>
        <v/>
      </c>
      <c r="T102" s="63">
        <f>--ISNUMBER(IF(StatusBranchGrade[[#This Row],[Spouse0]] = 'Calculation Worksheet'!$CG$6 &amp; "  /  " &amp; 'Calculation Worksheet'!$CG$7, 1, ""))</f>
        <v>0</v>
      </c>
      <c r="U102" s="63" t="str">
        <f>IF(StatusBranchGrade[[#This Row],[T1]] = 1, COUNTIF($T$3:T102, 1), "")</f>
        <v/>
      </c>
      <c r="V102" s="63" t="str">
        <f>IFERROR(INDEX(StatusBranchGrade[Rank/Grade], MATCH(ROWS($U$3:U102)-1, StatusBranchGrade[T2], 0)), "") &amp; ""</f>
        <v/>
      </c>
      <c r="W102" s="63"/>
    </row>
    <row r="103" spans="1:23" x14ac:dyDescent="0.25">
      <c r="A103">
        <v>4</v>
      </c>
      <c r="B103" t="s">
        <v>339</v>
      </c>
      <c r="C103" t="s">
        <v>181</v>
      </c>
      <c r="D103" t="s">
        <v>104</v>
      </c>
      <c r="E103" t="str">
        <f>IF(StatusBranchGrade[[#This Row],[Status]] = "CYS", "DoD", StatusBranchGrade[[#This Row],[Rank]] &amp; "")</f>
        <v>E-2</v>
      </c>
      <c r="F103" t="s">
        <v>104</v>
      </c>
      <c r="G103" t="str">
        <f>IF(StatusBranchGrade[[#This Row],[Rank]] = StatusBranchGrade[[#This Row],[Grade]], StatusBranchGrade[[#This Row],[Rank]], StatusBranchGrade[[#This Row],[Grade]] &amp; "/" &amp; StatusBranchGrade[[#This Row],[Rank]]) &amp; ""</f>
        <v>E-2</v>
      </c>
      <c r="H10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E-2</v>
      </c>
      <c r="I103" s="17" t="str">
        <f>SUBSTITUTE(SUBSTITUTE(SUBSTITUTE(StatusBranchGrade[[#This Row],[Status]] &amp; "  /  " &amp; StatusBranchGrade[[#This Row],[Branch]] &amp; ";", "  /  ;", ";"), "  /  ;", ";"), ";", "")</f>
        <v>Wounded Warrior--GC-approved  /  Marines</v>
      </c>
      <c r="J103">
        <v>12</v>
      </c>
      <c r="K103" s="17" t="str">
        <f>IF(LEFT(StatusBranchGrade[[#This Row],[Which]], 1) = "1", StatusBranchGrade[[#This Row],[Key]], "")</f>
        <v>Wounded Warrior--GC-approved  /  Marines  /  E-2</v>
      </c>
      <c r="L103" s="17" t="str">
        <f>IF(LEFT(StatusBranchGrade[[#This Row],[Which]], 1) = "1", StatusBranchGrade[[#This Row],[Key0]], "")</f>
        <v>Wounded Warrior--GC-approved  /  Marines</v>
      </c>
      <c r="M103" s="17" t="str">
        <f>IF(RIGHT(StatusBranchGrade[[#This Row],[Which]], 1) = "2", StatusBranchGrade[[#This Row],[Key]], "")</f>
        <v>Wounded Warrior--GC-approved  /  Marines  /  E-2</v>
      </c>
      <c r="N103" s="17" t="str">
        <f>IF(RIGHT(StatusBranchGrade[[#This Row],[Which]], 1) = "2", StatusBranchGrade[[#This Row],[Key0]], "")</f>
        <v>Wounded Warrior--GC-approved  /  Marines</v>
      </c>
      <c r="O103" s="17" t="s">
        <v>299</v>
      </c>
      <c r="P103" s="17"/>
      <c r="Q103" s="63">
        <f>--ISNUMBER(IF(StatusBranchGrade[[#This Row],[Sponsor0]] = 'Calculation Worksheet'!$AV$6 &amp; "  /  " &amp; 'Calculation Worksheet'!$AV$7, 1, ""))</f>
        <v>0</v>
      </c>
      <c r="R103" s="63" t="str">
        <f>IF(StatusBranchGrade[[#This Row],[S1]] = 1, COUNTIF($Q$3:Q103, 1), "")</f>
        <v/>
      </c>
      <c r="S103" s="63" t="str">
        <f>IFERROR(INDEX(StatusBranchGrade[Rank/Grade], MATCH(ROWS($R$3:R103)-1, StatusBranchGrade[S2], 0)), "") &amp; ""</f>
        <v/>
      </c>
      <c r="T103" s="63">
        <f>--ISNUMBER(IF(StatusBranchGrade[[#This Row],[Spouse0]] = 'Calculation Worksheet'!$CG$6 &amp; "  /  " &amp; 'Calculation Worksheet'!$CG$7, 1, ""))</f>
        <v>0</v>
      </c>
      <c r="U103" s="63" t="str">
        <f>IF(StatusBranchGrade[[#This Row],[T1]] = 1, COUNTIF($T$3:T103, 1), "")</f>
        <v/>
      </c>
      <c r="V103" s="63" t="str">
        <f>IFERROR(INDEX(StatusBranchGrade[Rank/Grade], MATCH(ROWS($U$3:U103)-1, StatusBranchGrade[T2], 0)), "") &amp; ""</f>
        <v/>
      </c>
      <c r="W103" s="63"/>
    </row>
    <row r="104" spans="1:23" x14ac:dyDescent="0.25">
      <c r="A104">
        <v>4</v>
      </c>
      <c r="B104" t="s">
        <v>339</v>
      </c>
      <c r="C104" t="s">
        <v>181</v>
      </c>
      <c r="D104" t="s">
        <v>103</v>
      </c>
      <c r="E104" t="str">
        <f>IF(StatusBranchGrade[[#This Row],[Status]] = "CYS", "DoD", StatusBranchGrade[[#This Row],[Rank]] &amp; "")</f>
        <v>E-3</v>
      </c>
      <c r="F104" t="s">
        <v>103</v>
      </c>
      <c r="G104" t="str">
        <f>IF(StatusBranchGrade[[#This Row],[Rank]] = StatusBranchGrade[[#This Row],[Grade]], StatusBranchGrade[[#This Row],[Rank]], StatusBranchGrade[[#This Row],[Grade]] &amp; "/" &amp; StatusBranchGrade[[#This Row],[Rank]]) &amp; ""</f>
        <v>E-3</v>
      </c>
      <c r="H10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E-3</v>
      </c>
      <c r="I104" s="17" t="str">
        <f>SUBSTITUTE(SUBSTITUTE(SUBSTITUTE(StatusBranchGrade[[#This Row],[Status]] &amp; "  /  " &amp; StatusBranchGrade[[#This Row],[Branch]] &amp; ";", "  /  ;", ";"), "  /  ;", ";"), ";", "")</f>
        <v>Wounded Warrior--GC-approved  /  Marines</v>
      </c>
      <c r="J104">
        <v>12</v>
      </c>
      <c r="K104" s="17" t="str">
        <f>IF(LEFT(StatusBranchGrade[[#This Row],[Which]], 1) = "1", StatusBranchGrade[[#This Row],[Key]], "")</f>
        <v>Wounded Warrior--GC-approved  /  Marines  /  E-3</v>
      </c>
      <c r="L104" s="17" t="str">
        <f>IF(LEFT(StatusBranchGrade[[#This Row],[Which]], 1) = "1", StatusBranchGrade[[#This Row],[Key0]], "")</f>
        <v>Wounded Warrior--GC-approved  /  Marines</v>
      </c>
      <c r="M104" s="17" t="str">
        <f>IF(RIGHT(StatusBranchGrade[[#This Row],[Which]], 1) = "2", StatusBranchGrade[[#This Row],[Key]], "")</f>
        <v>Wounded Warrior--GC-approved  /  Marines  /  E-3</v>
      </c>
      <c r="N104" s="17" t="str">
        <f>IF(RIGHT(StatusBranchGrade[[#This Row],[Which]], 1) = "2", StatusBranchGrade[[#This Row],[Key0]], "")</f>
        <v>Wounded Warrior--GC-approved  /  Marines</v>
      </c>
      <c r="O104" s="17" t="s">
        <v>299</v>
      </c>
      <c r="P104" s="17"/>
      <c r="Q104" s="63">
        <f>--ISNUMBER(IF(StatusBranchGrade[[#This Row],[Sponsor0]] = 'Calculation Worksheet'!$AV$6 &amp; "  /  " &amp; 'Calculation Worksheet'!$AV$7, 1, ""))</f>
        <v>0</v>
      </c>
      <c r="R104" s="63" t="str">
        <f>IF(StatusBranchGrade[[#This Row],[S1]] = 1, COUNTIF($Q$3:Q104, 1), "")</f>
        <v/>
      </c>
      <c r="S104" s="63" t="str">
        <f>IFERROR(INDEX(StatusBranchGrade[Rank/Grade], MATCH(ROWS($R$3:R104)-1, StatusBranchGrade[S2], 0)), "") &amp; ""</f>
        <v/>
      </c>
      <c r="T104" s="63">
        <f>--ISNUMBER(IF(StatusBranchGrade[[#This Row],[Spouse0]] = 'Calculation Worksheet'!$CG$6 &amp; "  /  " &amp; 'Calculation Worksheet'!$CG$7, 1, ""))</f>
        <v>0</v>
      </c>
      <c r="U104" s="63" t="str">
        <f>IF(StatusBranchGrade[[#This Row],[T1]] = 1, COUNTIF($T$3:T104, 1), "")</f>
        <v/>
      </c>
      <c r="V104" s="63" t="str">
        <f>IFERROR(INDEX(StatusBranchGrade[Rank/Grade], MATCH(ROWS($U$3:U104)-1, StatusBranchGrade[T2], 0)), "") &amp; ""</f>
        <v/>
      </c>
      <c r="W104" s="63"/>
    </row>
    <row r="105" spans="1:23" x14ac:dyDescent="0.25">
      <c r="A105">
        <v>4</v>
      </c>
      <c r="B105" t="s">
        <v>339</v>
      </c>
      <c r="C105" t="s">
        <v>181</v>
      </c>
      <c r="D105" t="s">
        <v>102</v>
      </c>
      <c r="E105" t="str">
        <f>IF(StatusBranchGrade[[#This Row],[Status]] = "CYS", "DoD", StatusBranchGrade[[#This Row],[Rank]] &amp; "")</f>
        <v>E-4</v>
      </c>
      <c r="F105" t="s">
        <v>102</v>
      </c>
      <c r="G105" t="str">
        <f>IF(StatusBranchGrade[[#This Row],[Rank]] = StatusBranchGrade[[#This Row],[Grade]], StatusBranchGrade[[#This Row],[Rank]], StatusBranchGrade[[#This Row],[Grade]] &amp; "/" &amp; StatusBranchGrade[[#This Row],[Rank]]) &amp; ""</f>
        <v>E-4</v>
      </c>
      <c r="H10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E-4</v>
      </c>
      <c r="I105" s="17" t="str">
        <f>SUBSTITUTE(SUBSTITUTE(SUBSTITUTE(StatusBranchGrade[[#This Row],[Status]] &amp; "  /  " &amp; StatusBranchGrade[[#This Row],[Branch]] &amp; ";", "  /  ;", ";"), "  /  ;", ";"), ";", "")</f>
        <v>Wounded Warrior--GC-approved  /  Marines</v>
      </c>
      <c r="J105">
        <v>12</v>
      </c>
      <c r="K105" s="17" t="str">
        <f>IF(LEFT(StatusBranchGrade[[#This Row],[Which]], 1) = "1", StatusBranchGrade[[#This Row],[Key]], "")</f>
        <v>Wounded Warrior--GC-approved  /  Marines  /  E-4</v>
      </c>
      <c r="L105" s="17" t="str">
        <f>IF(LEFT(StatusBranchGrade[[#This Row],[Which]], 1) = "1", StatusBranchGrade[[#This Row],[Key0]], "")</f>
        <v>Wounded Warrior--GC-approved  /  Marines</v>
      </c>
      <c r="M105" s="17" t="str">
        <f>IF(RIGHT(StatusBranchGrade[[#This Row],[Which]], 1) = "2", StatusBranchGrade[[#This Row],[Key]], "")</f>
        <v>Wounded Warrior--GC-approved  /  Marines  /  E-4</v>
      </c>
      <c r="N105" s="17" t="str">
        <f>IF(RIGHT(StatusBranchGrade[[#This Row],[Which]], 1) = "2", StatusBranchGrade[[#This Row],[Key0]], "")</f>
        <v>Wounded Warrior--GC-approved  /  Marines</v>
      </c>
      <c r="O105" s="17" t="s">
        <v>299</v>
      </c>
      <c r="P105" s="17"/>
      <c r="Q105" s="63">
        <f>--ISNUMBER(IF(StatusBranchGrade[[#This Row],[Sponsor0]] = 'Calculation Worksheet'!$AV$6 &amp; "  /  " &amp; 'Calculation Worksheet'!$AV$7, 1, ""))</f>
        <v>0</v>
      </c>
      <c r="R105" s="63" t="str">
        <f>IF(StatusBranchGrade[[#This Row],[S1]] = 1, COUNTIF($Q$3:Q105, 1), "")</f>
        <v/>
      </c>
      <c r="S105" s="63" t="str">
        <f>IFERROR(INDEX(StatusBranchGrade[Rank/Grade], MATCH(ROWS($R$3:R105)-1, StatusBranchGrade[S2], 0)), "") &amp; ""</f>
        <v/>
      </c>
      <c r="T105" s="63">
        <f>--ISNUMBER(IF(StatusBranchGrade[[#This Row],[Spouse0]] = 'Calculation Worksheet'!$CG$6 &amp; "  /  " &amp; 'Calculation Worksheet'!$CG$7, 1, ""))</f>
        <v>0</v>
      </c>
      <c r="U105" s="63" t="str">
        <f>IF(StatusBranchGrade[[#This Row],[T1]] = 1, COUNTIF($T$3:T105, 1), "")</f>
        <v/>
      </c>
      <c r="V105" s="63" t="str">
        <f>IFERROR(INDEX(StatusBranchGrade[Rank/Grade], MATCH(ROWS($U$3:U105)-1, StatusBranchGrade[T2], 0)), "") &amp; ""</f>
        <v/>
      </c>
      <c r="W105" s="63"/>
    </row>
    <row r="106" spans="1:23" x14ac:dyDescent="0.25">
      <c r="A106">
        <v>4</v>
      </c>
      <c r="B106" t="s">
        <v>339</v>
      </c>
      <c r="C106" t="s">
        <v>181</v>
      </c>
      <c r="D106" t="s">
        <v>101</v>
      </c>
      <c r="E106" t="str">
        <f>IF(StatusBranchGrade[[#This Row],[Status]] = "CYS", "DoD", StatusBranchGrade[[#This Row],[Rank]] &amp; "")</f>
        <v>E-5</v>
      </c>
      <c r="F106" t="s">
        <v>101</v>
      </c>
      <c r="G106" t="str">
        <f>IF(StatusBranchGrade[[#This Row],[Rank]] = StatusBranchGrade[[#This Row],[Grade]], StatusBranchGrade[[#This Row],[Rank]], StatusBranchGrade[[#This Row],[Grade]] &amp; "/" &amp; StatusBranchGrade[[#This Row],[Rank]]) &amp; ""</f>
        <v>E-5</v>
      </c>
      <c r="H10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E-5</v>
      </c>
      <c r="I106" s="17" t="str">
        <f>SUBSTITUTE(SUBSTITUTE(SUBSTITUTE(StatusBranchGrade[[#This Row],[Status]] &amp; "  /  " &amp; StatusBranchGrade[[#This Row],[Branch]] &amp; ";", "  /  ;", ";"), "  /  ;", ";"), ";", "")</f>
        <v>Wounded Warrior--GC-approved  /  Marines</v>
      </c>
      <c r="J106">
        <v>12</v>
      </c>
      <c r="K106" s="17" t="str">
        <f>IF(LEFT(StatusBranchGrade[[#This Row],[Which]], 1) = "1", StatusBranchGrade[[#This Row],[Key]], "")</f>
        <v>Wounded Warrior--GC-approved  /  Marines  /  E-5</v>
      </c>
      <c r="L106" s="17" t="str">
        <f>IF(LEFT(StatusBranchGrade[[#This Row],[Which]], 1) = "1", StatusBranchGrade[[#This Row],[Key0]], "")</f>
        <v>Wounded Warrior--GC-approved  /  Marines</v>
      </c>
      <c r="M106" s="17" t="str">
        <f>IF(RIGHT(StatusBranchGrade[[#This Row],[Which]], 1) = "2", StatusBranchGrade[[#This Row],[Key]], "")</f>
        <v>Wounded Warrior--GC-approved  /  Marines  /  E-5</v>
      </c>
      <c r="N106" s="17" t="str">
        <f>IF(RIGHT(StatusBranchGrade[[#This Row],[Which]], 1) = "2", StatusBranchGrade[[#This Row],[Key0]], "")</f>
        <v>Wounded Warrior--GC-approved  /  Marines</v>
      </c>
      <c r="O106" s="17" t="s">
        <v>299</v>
      </c>
      <c r="P106" s="17"/>
      <c r="Q106" s="63">
        <f>--ISNUMBER(IF(StatusBranchGrade[[#This Row],[Sponsor0]] = 'Calculation Worksheet'!$AV$6 &amp; "  /  " &amp; 'Calculation Worksheet'!$AV$7, 1, ""))</f>
        <v>0</v>
      </c>
      <c r="R106" s="63" t="str">
        <f>IF(StatusBranchGrade[[#This Row],[S1]] = 1, COUNTIF($Q$3:Q106, 1), "")</f>
        <v/>
      </c>
      <c r="S106" s="63" t="str">
        <f>IFERROR(INDEX(StatusBranchGrade[Rank/Grade], MATCH(ROWS($R$3:R106)-1, StatusBranchGrade[S2], 0)), "") &amp; ""</f>
        <v/>
      </c>
      <c r="T106" s="63">
        <f>--ISNUMBER(IF(StatusBranchGrade[[#This Row],[Spouse0]] = 'Calculation Worksheet'!$CG$6 &amp; "  /  " &amp; 'Calculation Worksheet'!$CG$7, 1, ""))</f>
        <v>0</v>
      </c>
      <c r="U106" s="63" t="str">
        <f>IF(StatusBranchGrade[[#This Row],[T1]] = 1, COUNTIF($T$3:T106, 1), "")</f>
        <v/>
      </c>
      <c r="V106" s="63" t="str">
        <f>IFERROR(INDEX(StatusBranchGrade[Rank/Grade], MATCH(ROWS($U$3:U106)-1, StatusBranchGrade[T2], 0)), "") &amp; ""</f>
        <v/>
      </c>
      <c r="W106" s="63"/>
    </row>
    <row r="107" spans="1:23" x14ac:dyDescent="0.25">
      <c r="A107">
        <v>4</v>
      </c>
      <c r="B107" t="s">
        <v>339</v>
      </c>
      <c r="C107" t="s">
        <v>181</v>
      </c>
      <c r="D107" t="s">
        <v>100</v>
      </c>
      <c r="E107" t="str">
        <f>IF(StatusBranchGrade[[#This Row],[Status]] = "CYS", "DoD", StatusBranchGrade[[#This Row],[Rank]] &amp; "")</f>
        <v>E-6</v>
      </c>
      <c r="F107" t="s">
        <v>100</v>
      </c>
      <c r="G107" t="str">
        <f>IF(StatusBranchGrade[[#This Row],[Rank]] = StatusBranchGrade[[#This Row],[Grade]], StatusBranchGrade[[#This Row],[Rank]], StatusBranchGrade[[#This Row],[Grade]] &amp; "/" &amp; StatusBranchGrade[[#This Row],[Rank]]) &amp; ""</f>
        <v>E-6</v>
      </c>
      <c r="H10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E-6</v>
      </c>
      <c r="I107" s="17" t="str">
        <f>SUBSTITUTE(SUBSTITUTE(SUBSTITUTE(StatusBranchGrade[[#This Row],[Status]] &amp; "  /  " &amp; StatusBranchGrade[[#This Row],[Branch]] &amp; ";", "  /  ;", ";"), "  /  ;", ";"), ";", "")</f>
        <v>Wounded Warrior--GC-approved  /  Marines</v>
      </c>
      <c r="J107">
        <v>12</v>
      </c>
      <c r="K107" s="17" t="str">
        <f>IF(LEFT(StatusBranchGrade[[#This Row],[Which]], 1) = "1", StatusBranchGrade[[#This Row],[Key]], "")</f>
        <v>Wounded Warrior--GC-approved  /  Marines  /  E-6</v>
      </c>
      <c r="L107" s="17" t="str">
        <f>IF(LEFT(StatusBranchGrade[[#This Row],[Which]], 1) = "1", StatusBranchGrade[[#This Row],[Key0]], "")</f>
        <v>Wounded Warrior--GC-approved  /  Marines</v>
      </c>
      <c r="M107" s="17" t="str">
        <f>IF(RIGHT(StatusBranchGrade[[#This Row],[Which]], 1) = "2", StatusBranchGrade[[#This Row],[Key]], "")</f>
        <v>Wounded Warrior--GC-approved  /  Marines  /  E-6</v>
      </c>
      <c r="N107" s="17" t="str">
        <f>IF(RIGHT(StatusBranchGrade[[#This Row],[Which]], 1) = "2", StatusBranchGrade[[#This Row],[Key0]], "")</f>
        <v>Wounded Warrior--GC-approved  /  Marines</v>
      </c>
      <c r="O107" s="17" t="s">
        <v>299</v>
      </c>
      <c r="P107" s="17"/>
      <c r="Q107" s="63">
        <f>--ISNUMBER(IF(StatusBranchGrade[[#This Row],[Sponsor0]] = 'Calculation Worksheet'!$AV$6 &amp; "  /  " &amp; 'Calculation Worksheet'!$AV$7, 1, ""))</f>
        <v>0</v>
      </c>
      <c r="R107" s="63" t="str">
        <f>IF(StatusBranchGrade[[#This Row],[S1]] = 1, COUNTIF($Q$3:Q107, 1), "")</f>
        <v/>
      </c>
      <c r="S107" s="63" t="str">
        <f>IFERROR(INDEX(StatusBranchGrade[Rank/Grade], MATCH(ROWS($R$3:R107)-1, StatusBranchGrade[S2], 0)), "") &amp; ""</f>
        <v/>
      </c>
      <c r="T107" s="63">
        <f>--ISNUMBER(IF(StatusBranchGrade[[#This Row],[Spouse0]] = 'Calculation Worksheet'!$CG$6 &amp; "  /  " &amp; 'Calculation Worksheet'!$CG$7, 1, ""))</f>
        <v>0</v>
      </c>
      <c r="U107" s="63" t="str">
        <f>IF(StatusBranchGrade[[#This Row],[T1]] = 1, COUNTIF($T$3:T107, 1), "")</f>
        <v/>
      </c>
      <c r="V107" s="63" t="str">
        <f>IFERROR(INDEX(StatusBranchGrade[Rank/Grade], MATCH(ROWS($U$3:U107)-1, StatusBranchGrade[T2], 0)), "") &amp; ""</f>
        <v/>
      </c>
      <c r="W107" s="63"/>
    </row>
    <row r="108" spans="1:23" x14ac:dyDescent="0.25">
      <c r="A108">
        <v>4</v>
      </c>
      <c r="B108" t="s">
        <v>339</v>
      </c>
      <c r="C108" t="s">
        <v>181</v>
      </c>
      <c r="D108" t="s">
        <v>99</v>
      </c>
      <c r="E108" t="str">
        <f>IF(StatusBranchGrade[[#This Row],[Status]] = "CYS", "DoD", StatusBranchGrade[[#This Row],[Rank]] &amp; "")</f>
        <v>E-7</v>
      </c>
      <c r="F108" t="s">
        <v>99</v>
      </c>
      <c r="G108" t="str">
        <f>IF(StatusBranchGrade[[#This Row],[Rank]] = StatusBranchGrade[[#This Row],[Grade]], StatusBranchGrade[[#This Row],[Rank]], StatusBranchGrade[[#This Row],[Grade]] &amp; "/" &amp; StatusBranchGrade[[#This Row],[Rank]]) &amp; ""</f>
        <v>E-7</v>
      </c>
      <c r="H10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E-7</v>
      </c>
      <c r="I108" s="17" t="str">
        <f>SUBSTITUTE(SUBSTITUTE(SUBSTITUTE(StatusBranchGrade[[#This Row],[Status]] &amp; "  /  " &amp; StatusBranchGrade[[#This Row],[Branch]] &amp; ";", "  /  ;", ";"), "  /  ;", ";"), ";", "")</f>
        <v>Wounded Warrior--GC-approved  /  Marines</v>
      </c>
      <c r="J108">
        <v>12</v>
      </c>
      <c r="K108" s="17" t="str">
        <f>IF(LEFT(StatusBranchGrade[[#This Row],[Which]], 1) = "1", StatusBranchGrade[[#This Row],[Key]], "")</f>
        <v>Wounded Warrior--GC-approved  /  Marines  /  E-7</v>
      </c>
      <c r="L108" s="17" t="str">
        <f>IF(LEFT(StatusBranchGrade[[#This Row],[Which]], 1) = "1", StatusBranchGrade[[#This Row],[Key0]], "")</f>
        <v>Wounded Warrior--GC-approved  /  Marines</v>
      </c>
      <c r="M108" s="17" t="str">
        <f>IF(RIGHT(StatusBranchGrade[[#This Row],[Which]], 1) = "2", StatusBranchGrade[[#This Row],[Key]], "")</f>
        <v>Wounded Warrior--GC-approved  /  Marines  /  E-7</v>
      </c>
      <c r="N108" s="17" t="str">
        <f>IF(RIGHT(StatusBranchGrade[[#This Row],[Which]], 1) = "2", StatusBranchGrade[[#This Row],[Key0]], "")</f>
        <v>Wounded Warrior--GC-approved  /  Marines</v>
      </c>
      <c r="O108" s="17" t="s">
        <v>299</v>
      </c>
      <c r="P108" s="17"/>
      <c r="Q108" s="63">
        <f>--ISNUMBER(IF(StatusBranchGrade[[#This Row],[Sponsor0]] = 'Calculation Worksheet'!$AV$6 &amp; "  /  " &amp; 'Calculation Worksheet'!$AV$7, 1, ""))</f>
        <v>0</v>
      </c>
      <c r="R108" s="63" t="str">
        <f>IF(StatusBranchGrade[[#This Row],[S1]] = 1, COUNTIF($Q$3:Q108, 1), "")</f>
        <v/>
      </c>
      <c r="S108" s="63" t="str">
        <f>IFERROR(INDEX(StatusBranchGrade[Rank/Grade], MATCH(ROWS($R$3:R108)-1, StatusBranchGrade[S2], 0)), "") &amp; ""</f>
        <v/>
      </c>
      <c r="T108" s="63">
        <f>--ISNUMBER(IF(StatusBranchGrade[[#This Row],[Spouse0]] = 'Calculation Worksheet'!$CG$6 &amp; "  /  " &amp; 'Calculation Worksheet'!$CG$7, 1, ""))</f>
        <v>0</v>
      </c>
      <c r="U108" s="63" t="str">
        <f>IF(StatusBranchGrade[[#This Row],[T1]] = 1, COUNTIF($T$3:T108, 1), "")</f>
        <v/>
      </c>
      <c r="V108" s="63" t="str">
        <f>IFERROR(INDEX(StatusBranchGrade[Rank/Grade], MATCH(ROWS($U$3:U108)-1, StatusBranchGrade[T2], 0)), "") &amp; ""</f>
        <v/>
      </c>
      <c r="W108" s="63"/>
    </row>
    <row r="109" spans="1:23" x14ac:dyDescent="0.25">
      <c r="A109">
        <v>4</v>
      </c>
      <c r="B109" t="s">
        <v>339</v>
      </c>
      <c r="C109" t="s">
        <v>181</v>
      </c>
      <c r="D109" t="s">
        <v>98</v>
      </c>
      <c r="E109" t="str">
        <f>IF(StatusBranchGrade[[#This Row],[Status]] = "CYS", "DoD", StatusBranchGrade[[#This Row],[Rank]] &amp; "")</f>
        <v>E-8</v>
      </c>
      <c r="F109" t="s">
        <v>98</v>
      </c>
      <c r="G109" t="str">
        <f>IF(StatusBranchGrade[[#This Row],[Rank]] = StatusBranchGrade[[#This Row],[Grade]], StatusBranchGrade[[#This Row],[Rank]], StatusBranchGrade[[#This Row],[Grade]] &amp; "/" &amp; StatusBranchGrade[[#This Row],[Rank]]) &amp; ""</f>
        <v>E-8</v>
      </c>
      <c r="H10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E-8</v>
      </c>
      <c r="I109" s="17" t="str">
        <f>SUBSTITUTE(SUBSTITUTE(SUBSTITUTE(StatusBranchGrade[[#This Row],[Status]] &amp; "  /  " &amp; StatusBranchGrade[[#This Row],[Branch]] &amp; ";", "  /  ;", ";"), "  /  ;", ";"), ";", "")</f>
        <v>Wounded Warrior--GC-approved  /  Marines</v>
      </c>
      <c r="J109">
        <v>12</v>
      </c>
      <c r="K109" s="17" t="str">
        <f>IF(LEFT(StatusBranchGrade[[#This Row],[Which]], 1) = "1", StatusBranchGrade[[#This Row],[Key]], "")</f>
        <v>Wounded Warrior--GC-approved  /  Marines  /  E-8</v>
      </c>
      <c r="L109" s="17" t="str">
        <f>IF(LEFT(StatusBranchGrade[[#This Row],[Which]], 1) = "1", StatusBranchGrade[[#This Row],[Key0]], "")</f>
        <v>Wounded Warrior--GC-approved  /  Marines</v>
      </c>
      <c r="M109" s="17" t="str">
        <f>IF(RIGHT(StatusBranchGrade[[#This Row],[Which]], 1) = "2", StatusBranchGrade[[#This Row],[Key]], "")</f>
        <v>Wounded Warrior--GC-approved  /  Marines  /  E-8</v>
      </c>
      <c r="N109" s="17" t="str">
        <f>IF(RIGHT(StatusBranchGrade[[#This Row],[Which]], 1) = "2", StatusBranchGrade[[#This Row],[Key0]], "")</f>
        <v>Wounded Warrior--GC-approved  /  Marines</v>
      </c>
      <c r="O109" s="17" t="s">
        <v>299</v>
      </c>
      <c r="P109" s="17"/>
      <c r="Q109" s="63">
        <f>--ISNUMBER(IF(StatusBranchGrade[[#This Row],[Sponsor0]] = 'Calculation Worksheet'!$AV$6 &amp; "  /  " &amp; 'Calculation Worksheet'!$AV$7, 1, ""))</f>
        <v>0</v>
      </c>
      <c r="R109" s="63" t="str">
        <f>IF(StatusBranchGrade[[#This Row],[S1]] = 1, COUNTIF($Q$3:Q109, 1), "")</f>
        <v/>
      </c>
      <c r="S109" s="63" t="str">
        <f>IFERROR(INDEX(StatusBranchGrade[Rank/Grade], MATCH(ROWS($R$3:R109)-1, StatusBranchGrade[S2], 0)), "") &amp; ""</f>
        <v/>
      </c>
      <c r="T109" s="63">
        <f>--ISNUMBER(IF(StatusBranchGrade[[#This Row],[Spouse0]] = 'Calculation Worksheet'!$CG$6 &amp; "  /  " &amp; 'Calculation Worksheet'!$CG$7, 1, ""))</f>
        <v>0</v>
      </c>
      <c r="U109" s="63" t="str">
        <f>IF(StatusBranchGrade[[#This Row],[T1]] = 1, COUNTIF($T$3:T109, 1), "")</f>
        <v/>
      </c>
      <c r="V109" s="63" t="str">
        <f>IFERROR(INDEX(StatusBranchGrade[Rank/Grade], MATCH(ROWS($U$3:U109)-1, StatusBranchGrade[T2], 0)), "") &amp; ""</f>
        <v/>
      </c>
      <c r="W109" s="63"/>
    </row>
    <row r="110" spans="1:23" x14ac:dyDescent="0.25">
      <c r="A110">
        <v>4</v>
      </c>
      <c r="B110" t="s">
        <v>339</v>
      </c>
      <c r="C110" t="s">
        <v>181</v>
      </c>
      <c r="D110" t="s">
        <v>97</v>
      </c>
      <c r="E110" t="str">
        <f>IF(StatusBranchGrade[[#This Row],[Status]] = "CYS", "DoD", StatusBranchGrade[[#This Row],[Rank]] &amp; "")</f>
        <v>E-9</v>
      </c>
      <c r="F110" t="s">
        <v>97</v>
      </c>
      <c r="G110" t="str">
        <f>IF(StatusBranchGrade[[#This Row],[Rank]] = StatusBranchGrade[[#This Row],[Grade]], StatusBranchGrade[[#This Row],[Rank]], StatusBranchGrade[[#This Row],[Grade]] &amp; "/" &amp; StatusBranchGrade[[#This Row],[Rank]]) &amp; ""</f>
        <v>E-9</v>
      </c>
      <c r="H1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E-9</v>
      </c>
      <c r="I110" s="17" t="str">
        <f>SUBSTITUTE(SUBSTITUTE(SUBSTITUTE(StatusBranchGrade[[#This Row],[Status]] &amp; "  /  " &amp; StatusBranchGrade[[#This Row],[Branch]] &amp; ";", "  /  ;", ";"), "  /  ;", ";"), ";", "")</f>
        <v>Wounded Warrior--GC-approved  /  Marines</v>
      </c>
      <c r="J110">
        <v>12</v>
      </c>
      <c r="K110" s="17" t="str">
        <f>IF(LEFT(StatusBranchGrade[[#This Row],[Which]], 1) = "1", StatusBranchGrade[[#This Row],[Key]], "")</f>
        <v>Wounded Warrior--GC-approved  /  Marines  /  E-9</v>
      </c>
      <c r="L110" s="17" t="str">
        <f>IF(LEFT(StatusBranchGrade[[#This Row],[Which]], 1) = "1", StatusBranchGrade[[#This Row],[Key0]], "")</f>
        <v>Wounded Warrior--GC-approved  /  Marines</v>
      </c>
      <c r="M110" s="17" t="str">
        <f>IF(RIGHT(StatusBranchGrade[[#This Row],[Which]], 1) = "2", StatusBranchGrade[[#This Row],[Key]], "")</f>
        <v>Wounded Warrior--GC-approved  /  Marines  /  E-9</v>
      </c>
      <c r="N110" s="17" t="str">
        <f>IF(RIGHT(StatusBranchGrade[[#This Row],[Which]], 1) = "2", StatusBranchGrade[[#This Row],[Key0]], "")</f>
        <v>Wounded Warrior--GC-approved  /  Marines</v>
      </c>
      <c r="O110" s="17" t="s">
        <v>299</v>
      </c>
      <c r="P110" s="17"/>
      <c r="Q110" s="63">
        <f>--ISNUMBER(IF(StatusBranchGrade[[#This Row],[Sponsor0]] = 'Calculation Worksheet'!$AV$6 &amp; "  /  " &amp; 'Calculation Worksheet'!$AV$7, 1, ""))</f>
        <v>0</v>
      </c>
      <c r="R110" s="63" t="str">
        <f>IF(StatusBranchGrade[[#This Row],[S1]] = 1, COUNTIF($Q$3:Q110, 1), "")</f>
        <v/>
      </c>
      <c r="S110" s="63" t="str">
        <f>IFERROR(INDEX(StatusBranchGrade[Rank/Grade], MATCH(ROWS($R$3:R110)-1, StatusBranchGrade[S2], 0)), "") &amp; ""</f>
        <v/>
      </c>
      <c r="T110" s="63">
        <f>--ISNUMBER(IF(StatusBranchGrade[[#This Row],[Spouse0]] = 'Calculation Worksheet'!$CG$6 &amp; "  /  " &amp; 'Calculation Worksheet'!$CG$7, 1, ""))</f>
        <v>0</v>
      </c>
      <c r="U110" s="63" t="str">
        <f>IF(StatusBranchGrade[[#This Row],[T1]] = 1, COUNTIF($T$3:T110, 1), "")</f>
        <v/>
      </c>
      <c r="V110" s="63" t="str">
        <f>IFERROR(INDEX(StatusBranchGrade[Rank/Grade], MATCH(ROWS($U$3:U110)-1, StatusBranchGrade[T2], 0)), "") &amp; ""</f>
        <v/>
      </c>
      <c r="W110" s="63"/>
    </row>
    <row r="111" spans="1:23" x14ac:dyDescent="0.25">
      <c r="A111">
        <v>4</v>
      </c>
      <c r="B111" t="s">
        <v>339</v>
      </c>
      <c r="C111" t="s">
        <v>181</v>
      </c>
      <c r="D111" t="s">
        <v>91</v>
      </c>
      <c r="E111" t="str">
        <f>IF(StatusBranchGrade[[#This Row],[Status]] = "CYS", "DoD", StatusBranchGrade[[#This Row],[Rank]] &amp; "")</f>
        <v>O-1</v>
      </c>
      <c r="F111" t="s">
        <v>91</v>
      </c>
      <c r="G111" t="str">
        <f>IF(StatusBranchGrade[[#This Row],[Rank]] = StatusBranchGrade[[#This Row],[Grade]], StatusBranchGrade[[#This Row],[Rank]], StatusBranchGrade[[#This Row],[Grade]] &amp; "/" &amp; StatusBranchGrade[[#This Row],[Rank]]) &amp; ""</f>
        <v>O-1</v>
      </c>
      <c r="H1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O-1</v>
      </c>
      <c r="I111" s="17" t="str">
        <f>SUBSTITUTE(SUBSTITUTE(SUBSTITUTE(StatusBranchGrade[[#This Row],[Status]] &amp; "  /  " &amp; StatusBranchGrade[[#This Row],[Branch]] &amp; ";", "  /  ;", ";"), "  /  ;", ";"), ";", "")</f>
        <v>Wounded Warrior--GC-approved  /  Marines</v>
      </c>
      <c r="J111">
        <v>12</v>
      </c>
      <c r="K111" s="17" t="str">
        <f>IF(LEFT(StatusBranchGrade[[#This Row],[Which]], 1) = "1", StatusBranchGrade[[#This Row],[Key]], "")</f>
        <v>Wounded Warrior--GC-approved  /  Marines  /  O-1</v>
      </c>
      <c r="L111" s="17" t="str">
        <f>IF(LEFT(StatusBranchGrade[[#This Row],[Which]], 1) = "1", StatusBranchGrade[[#This Row],[Key0]], "")</f>
        <v>Wounded Warrior--GC-approved  /  Marines</v>
      </c>
      <c r="M111" s="17" t="str">
        <f>IF(RIGHT(StatusBranchGrade[[#This Row],[Which]], 1) = "2", StatusBranchGrade[[#This Row],[Key]], "")</f>
        <v>Wounded Warrior--GC-approved  /  Marines  /  O-1</v>
      </c>
      <c r="N111" s="17" t="str">
        <f>IF(RIGHT(StatusBranchGrade[[#This Row],[Which]], 1) = "2", StatusBranchGrade[[#This Row],[Key0]], "")</f>
        <v>Wounded Warrior--GC-approved  /  Marines</v>
      </c>
      <c r="O111" s="17" t="s">
        <v>299</v>
      </c>
      <c r="P111" s="17"/>
      <c r="Q111" s="63">
        <f>--ISNUMBER(IF(StatusBranchGrade[[#This Row],[Sponsor0]] = 'Calculation Worksheet'!$AV$6 &amp; "  /  " &amp; 'Calculation Worksheet'!$AV$7, 1, ""))</f>
        <v>0</v>
      </c>
      <c r="R111" s="63" t="str">
        <f>IF(StatusBranchGrade[[#This Row],[S1]] = 1, COUNTIF($Q$3:Q111, 1), "")</f>
        <v/>
      </c>
      <c r="S111" s="63" t="str">
        <f>IFERROR(INDEX(StatusBranchGrade[Rank/Grade], MATCH(ROWS($R$3:R111)-1, StatusBranchGrade[S2], 0)), "") &amp; ""</f>
        <v/>
      </c>
      <c r="T111" s="63">
        <f>--ISNUMBER(IF(StatusBranchGrade[[#This Row],[Spouse0]] = 'Calculation Worksheet'!$CG$6 &amp; "  /  " &amp; 'Calculation Worksheet'!$CG$7, 1, ""))</f>
        <v>0</v>
      </c>
      <c r="U111" s="63" t="str">
        <f>IF(StatusBranchGrade[[#This Row],[T1]] = 1, COUNTIF($T$3:T111, 1), "")</f>
        <v/>
      </c>
      <c r="V111" s="63" t="str">
        <f>IFERROR(INDEX(StatusBranchGrade[Rank/Grade], MATCH(ROWS($U$3:U111)-1, StatusBranchGrade[T2], 0)), "") &amp; ""</f>
        <v/>
      </c>
      <c r="W111" s="63"/>
    </row>
    <row r="112" spans="1:23" x14ac:dyDescent="0.25">
      <c r="A112">
        <v>4</v>
      </c>
      <c r="B112" t="s">
        <v>339</v>
      </c>
      <c r="C112" t="s">
        <v>181</v>
      </c>
      <c r="D112" s="75" t="s">
        <v>10</v>
      </c>
      <c r="E112" s="75" t="str">
        <f>IF(StatusBranchGrade[[#This Row],[Status]] = "CYS", "DoD", StatusBranchGrade[[#This Row],[Rank]] &amp; "")</f>
        <v>O1E</v>
      </c>
      <c r="F112" s="75" t="s">
        <v>91</v>
      </c>
      <c r="G112" s="75" t="str">
        <f>IF(StatusBranchGrade[[#This Row],[Rank]] = StatusBranchGrade[[#This Row],[Grade]], StatusBranchGrade[[#This Row],[Rank]], StatusBranchGrade[[#This Row],[Grade]] &amp; "/" &amp; StatusBranchGrade[[#This Row],[Rank]]) &amp; ""</f>
        <v>O-1/O1E</v>
      </c>
      <c r="H1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O-1/O1E</v>
      </c>
      <c r="I112" s="17" t="str">
        <f>SUBSTITUTE(SUBSTITUTE(SUBSTITUTE(StatusBranchGrade[[#This Row],[Status]] &amp; "  /  " &amp; StatusBranchGrade[[#This Row],[Branch]] &amp; ";", "  /  ;", ";"), "  /  ;", ";"), ";", "")</f>
        <v>Wounded Warrior--GC-approved  /  Marines</v>
      </c>
      <c r="J112">
        <v>12</v>
      </c>
      <c r="K112" s="17" t="str">
        <f>IF(LEFT(StatusBranchGrade[[#This Row],[Which]], 1) = "1", StatusBranchGrade[[#This Row],[Key]], "")</f>
        <v>Wounded Warrior--GC-approved  /  Marines  /  O-1/O1E</v>
      </c>
      <c r="L112" s="17" t="str">
        <f>IF(LEFT(StatusBranchGrade[[#This Row],[Which]], 1) = "1", StatusBranchGrade[[#This Row],[Key0]], "")</f>
        <v>Wounded Warrior--GC-approved  /  Marines</v>
      </c>
      <c r="M112" s="17" t="str">
        <f>IF(RIGHT(StatusBranchGrade[[#This Row],[Which]], 1) = "2", StatusBranchGrade[[#This Row],[Key]], "")</f>
        <v>Wounded Warrior--GC-approved  /  Marines  /  O-1/O1E</v>
      </c>
      <c r="N112" s="17" t="str">
        <f>IF(RIGHT(StatusBranchGrade[[#This Row],[Which]], 1) = "2", StatusBranchGrade[[#This Row],[Key0]], "")</f>
        <v>Wounded Warrior--GC-approved  /  Marines</v>
      </c>
      <c r="O112" s="17" t="s">
        <v>299</v>
      </c>
      <c r="P112" s="17"/>
      <c r="Q112" s="63">
        <f>--ISNUMBER(IF(StatusBranchGrade[[#This Row],[Sponsor0]] = 'Calculation Worksheet'!$AV$6 &amp; "  /  " &amp; 'Calculation Worksheet'!$AV$7, 1, ""))</f>
        <v>0</v>
      </c>
      <c r="R112" s="63" t="str">
        <f>IF(StatusBranchGrade[[#This Row],[S1]] = 1, COUNTIF($Q$3:Q112, 1), "")</f>
        <v/>
      </c>
      <c r="S112" s="63" t="str">
        <f>IFERROR(INDEX(StatusBranchGrade[Rank/Grade], MATCH(ROWS($R$3:R112)-1, StatusBranchGrade[S2], 0)), "") &amp; ""</f>
        <v/>
      </c>
      <c r="T112" s="63">
        <f>--ISNUMBER(IF(StatusBranchGrade[[#This Row],[Spouse0]] = 'Calculation Worksheet'!$CG$6 &amp; "  /  " &amp; 'Calculation Worksheet'!$CG$7, 1, ""))</f>
        <v>0</v>
      </c>
      <c r="U112" s="63" t="str">
        <f>IF(StatusBranchGrade[[#This Row],[T1]] = 1, COUNTIF($T$3:T112, 1), "")</f>
        <v/>
      </c>
      <c r="V112" s="63" t="str">
        <f>IFERROR(INDEX(StatusBranchGrade[Rank/Grade], MATCH(ROWS($U$3:U112)-1, StatusBranchGrade[T2], 0)), "") &amp; ""</f>
        <v/>
      </c>
      <c r="W112" s="63"/>
    </row>
    <row r="113" spans="1:23" x14ac:dyDescent="0.25">
      <c r="A113">
        <v>4</v>
      </c>
      <c r="B113" t="s">
        <v>339</v>
      </c>
      <c r="C113" t="s">
        <v>181</v>
      </c>
      <c r="D113" t="s">
        <v>82</v>
      </c>
      <c r="E113" t="str">
        <f>IF(StatusBranchGrade[[#This Row],[Status]] = "CYS", "DoD", StatusBranchGrade[[#This Row],[Rank]] &amp; "")</f>
        <v>O-10</v>
      </c>
      <c r="F113" t="s">
        <v>82</v>
      </c>
      <c r="G113" t="str">
        <f>IF(StatusBranchGrade[[#This Row],[Rank]] = StatusBranchGrade[[#This Row],[Grade]], StatusBranchGrade[[#This Row],[Rank]], StatusBranchGrade[[#This Row],[Grade]] &amp; "/" &amp; StatusBranchGrade[[#This Row],[Rank]]) &amp; ""</f>
        <v>O-10</v>
      </c>
      <c r="H1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O-10</v>
      </c>
      <c r="I113" s="17" t="str">
        <f>SUBSTITUTE(SUBSTITUTE(SUBSTITUTE(StatusBranchGrade[[#This Row],[Status]] &amp; "  /  " &amp; StatusBranchGrade[[#This Row],[Branch]] &amp; ";", "  /  ;", ";"), "  /  ;", ";"), ";", "")</f>
        <v>Wounded Warrior--GC-approved  /  Marines</v>
      </c>
      <c r="J113">
        <v>12</v>
      </c>
      <c r="K113" s="17" t="str">
        <f>IF(LEFT(StatusBranchGrade[[#This Row],[Which]], 1) = "1", StatusBranchGrade[[#This Row],[Key]], "")</f>
        <v>Wounded Warrior--GC-approved  /  Marines  /  O-10</v>
      </c>
      <c r="L113" s="17" t="str">
        <f>IF(LEFT(StatusBranchGrade[[#This Row],[Which]], 1) = "1", StatusBranchGrade[[#This Row],[Key0]], "")</f>
        <v>Wounded Warrior--GC-approved  /  Marines</v>
      </c>
      <c r="M113" s="17" t="str">
        <f>IF(RIGHT(StatusBranchGrade[[#This Row],[Which]], 1) = "2", StatusBranchGrade[[#This Row],[Key]], "")</f>
        <v>Wounded Warrior--GC-approved  /  Marines  /  O-10</v>
      </c>
      <c r="N113" s="17" t="str">
        <f>IF(RIGHT(StatusBranchGrade[[#This Row],[Which]], 1) = "2", StatusBranchGrade[[#This Row],[Key0]], "")</f>
        <v>Wounded Warrior--GC-approved  /  Marines</v>
      </c>
      <c r="O113" s="17" t="s">
        <v>299</v>
      </c>
      <c r="P113" s="17"/>
      <c r="Q113" s="63">
        <f>--ISNUMBER(IF(StatusBranchGrade[[#This Row],[Sponsor0]] = 'Calculation Worksheet'!$AV$6 &amp; "  /  " &amp; 'Calculation Worksheet'!$AV$7, 1, ""))</f>
        <v>0</v>
      </c>
      <c r="R113" s="63" t="str">
        <f>IF(StatusBranchGrade[[#This Row],[S1]] = 1, COUNTIF($Q$3:Q113, 1), "")</f>
        <v/>
      </c>
      <c r="S113" s="63" t="str">
        <f>IFERROR(INDEX(StatusBranchGrade[Rank/Grade], MATCH(ROWS($R$3:R113)-1, StatusBranchGrade[S2], 0)), "") &amp; ""</f>
        <v/>
      </c>
      <c r="T113" s="63">
        <f>--ISNUMBER(IF(StatusBranchGrade[[#This Row],[Spouse0]] = 'Calculation Worksheet'!$CG$6 &amp; "  /  " &amp; 'Calculation Worksheet'!$CG$7, 1, ""))</f>
        <v>0</v>
      </c>
      <c r="U113" s="63" t="str">
        <f>IF(StatusBranchGrade[[#This Row],[T1]] = 1, COUNTIF($T$3:T113, 1), "")</f>
        <v/>
      </c>
      <c r="V113" s="63" t="str">
        <f>IFERROR(INDEX(StatusBranchGrade[Rank/Grade], MATCH(ROWS($U$3:U113)-1, StatusBranchGrade[T2], 0)), "") &amp; ""</f>
        <v/>
      </c>
      <c r="W113" s="63"/>
    </row>
    <row r="114" spans="1:23" x14ac:dyDescent="0.25">
      <c r="A114">
        <v>4</v>
      </c>
      <c r="B114" t="s">
        <v>339</v>
      </c>
      <c r="C114" t="s">
        <v>181</v>
      </c>
      <c r="D114" t="s">
        <v>90</v>
      </c>
      <c r="E114" t="str">
        <f>IF(StatusBranchGrade[[#This Row],[Status]] = "CYS", "DoD", StatusBranchGrade[[#This Row],[Rank]] &amp; "")</f>
        <v>O-2</v>
      </c>
      <c r="F114" t="s">
        <v>90</v>
      </c>
      <c r="G114" t="str">
        <f>IF(StatusBranchGrade[[#This Row],[Rank]] = StatusBranchGrade[[#This Row],[Grade]], StatusBranchGrade[[#This Row],[Rank]], StatusBranchGrade[[#This Row],[Grade]] &amp; "/" &amp; StatusBranchGrade[[#This Row],[Rank]]) &amp; ""</f>
        <v>O-2</v>
      </c>
      <c r="H1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O-2</v>
      </c>
      <c r="I114" s="17" t="str">
        <f>SUBSTITUTE(SUBSTITUTE(SUBSTITUTE(StatusBranchGrade[[#This Row],[Status]] &amp; "  /  " &amp; StatusBranchGrade[[#This Row],[Branch]] &amp; ";", "  /  ;", ";"), "  /  ;", ";"), ";", "")</f>
        <v>Wounded Warrior--GC-approved  /  Marines</v>
      </c>
      <c r="J114">
        <v>12</v>
      </c>
      <c r="K114" s="17" t="str">
        <f>IF(LEFT(StatusBranchGrade[[#This Row],[Which]], 1) = "1", StatusBranchGrade[[#This Row],[Key]], "")</f>
        <v>Wounded Warrior--GC-approved  /  Marines  /  O-2</v>
      </c>
      <c r="L114" s="17" t="str">
        <f>IF(LEFT(StatusBranchGrade[[#This Row],[Which]], 1) = "1", StatusBranchGrade[[#This Row],[Key0]], "")</f>
        <v>Wounded Warrior--GC-approved  /  Marines</v>
      </c>
      <c r="M114" s="17" t="str">
        <f>IF(RIGHT(StatusBranchGrade[[#This Row],[Which]], 1) = "2", StatusBranchGrade[[#This Row],[Key]], "")</f>
        <v>Wounded Warrior--GC-approved  /  Marines  /  O-2</v>
      </c>
      <c r="N114" s="17" t="str">
        <f>IF(RIGHT(StatusBranchGrade[[#This Row],[Which]], 1) = "2", StatusBranchGrade[[#This Row],[Key0]], "")</f>
        <v>Wounded Warrior--GC-approved  /  Marines</v>
      </c>
      <c r="O114" s="17" t="s">
        <v>299</v>
      </c>
      <c r="P114" s="17"/>
      <c r="Q114" s="63">
        <f>--ISNUMBER(IF(StatusBranchGrade[[#This Row],[Sponsor0]] = 'Calculation Worksheet'!$AV$6 &amp; "  /  " &amp; 'Calculation Worksheet'!$AV$7, 1, ""))</f>
        <v>0</v>
      </c>
      <c r="R114" s="63" t="str">
        <f>IF(StatusBranchGrade[[#This Row],[S1]] = 1, COUNTIF($Q$3:Q114, 1), "")</f>
        <v/>
      </c>
      <c r="S114" s="63" t="str">
        <f>IFERROR(INDEX(StatusBranchGrade[Rank/Grade], MATCH(ROWS($R$3:R114)-1, StatusBranchGrade[S2], 0)), "") &amp; ""</f>
        <v/>
      </c>
      <c r="T114" s="63">
        <f>--ISNUMBER(IF(StatusBranchGrade[[#This Row],[Spouse0]] = 'Calculation Worksheet'!$CG$6 &amp; "  /  " &amp; 'Calculation Worksheet'!$CG$7, 1, ""))</f>
        <v>0</v>
      </c>
      <c r="U114" s="63" t="str">
        <f>IF(StatusBranchGrade[[#This Row],[T1]] = 1, COUNTIF($T$3:T114, 1), "")</f>
        <v/>
      </c>
      <c r="V114" s="63" t="str">
        <f>IFERROR(INDEX(StatusBranchGrade[Rank/Grade], MATCH(ROWS($U$3:U114)-1, StatusBranchGrade[T2], 0)), "") &amp; ""</f>
        <v/>
      </c>
      <c r="W114" s="63"/>
    </row>
    <row r="115" spans="1:23" x14ac:dyDescent="0.25">
      <c r="A115">
        <v>4</v>
      </c>
      <c r="B115" t="s">
        <v>339</v>
      </c>
      <c r="C115" t="s">
        <v>181</v>
      </c>
      <c r="D115" s="75" t="s">
        <v>11</v>
      </c>
      <c r="E115" s="75" t="str">
        <f>IF(StatusBranchGrade[[#This Row],[Status]] = "CYS", "DoD", StatusBranchGrade[[#This Row],[Rank]] &amp; "")</f>
        <v>O2E</v>
      </c>
      <c r="F115" s="75" t="s">
        <v>90</v>
      </c>
      <c r="G115" s="75" t="str">
        <f>IF(StatusBranchGrade[[#This Row],[Rank]] = StatusBranchGrade[[#This Row],[Grade]], StatusBranchGrade[[#This Row],[Rank]], StatusBranchGrade[[#This Row],[Grade]] &amp; "/" &amp; StatusBranchGrade[[#This Row],[Rank]]) &amp; ""</f>
        <v>O-2/O2E</v>
      </c>
      <c r="H1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O-2/O2E</v>
      </c>
      <c r="I115" s="17" t="str">
        <f>SUBSTITUTE(SUBSTITUTE(SUBSTITUTE(StatusBranchGrade[[#This Row],[Status]] &amp; "  /  " &amp; StatusBranchGrade[[#This Row],[Branch]] &amp; ";", "  /  ;", ";"), "  /  ;", ";"), ";", "")</f>
        <v>Wounded Warrior--GC-approved  /  Marines</v>
      </c>
      <c r="J115">
        <v>12</v>
      </c>
      <c r="K115" s="17" t="str">
        <f>IF(LEFT(StatusBranchGrade[[#This Row],[Which]], 1) = "1", StatusBranchGrade[[#This Row],[Key]], "")</f>
        <v>Wounded Warrior--GC-approved  /  Marines  /  O-2/O2E</v>
      </c>
      <c r="L115" s="17" t="str">
        <f>IF(LEFT(StatusBranchGrade[[#This Row],[Which]], 1) = "1", StatusBranchGrade[[#This Row],[Key0]], "")</f>
        <v>Wounded Warrior--GC-approved  /  Marines</v>
      </c>
      <c r="M115" s="17" t="str">
        <f>IF(RIGHT(StatusBranchGrade[[#This Row],[Which]], 1) = "2", StatusBranchGrade[[#This Row],[Key]], "")</f>
        <v>Wounded Warrior--GC-approved  /  Marines  /  O-2/O2E</v>
      </c>
      <c r="N115" s="17" t="str">
        <f>IF(RIGHT(StatusBranchGrade[[#This Row],[Which]], 1) = "2", StatusBranchGrade[[#This Row],[Key0]], "")</f>
        <v>Wounded Warrior--GC-approved  /  Marines</v>
      </c>
      <c r="O115" s="17" t="s">
        <v>299</v>
      </c>
      <c r="P115" s="17"/>
      <c r="Q115" s="63">
        <f>--ISNUMBER(IF(StatusBranchGrade[[#This Row],[Sponsor0]] = 'Calculation Worksheet'!$AV$6 &amp; "  /  " &amp; 'Calculation Worksheet'!$AV$7, 1, ""))</f>
        <v>0</v>
      </c>
      <c r="R115" s="63" t="str">
        <f>IF(StatusBranchGrade[[#This Row],[S1]] = 1, COUNTIF($Q$3:Q115, 1), "")</f>
        <v/>
      </c>
      <c r="S115" s="63" t="str">
        <f>IFERROR(INDEX(StatusBranchGrade[Rank/Grade], MATCH(ROWS($R$3:R115)-1, StatusBranchGrade[S2], 0)), "") &amp; ""</f>
        <v/>
      </c>
      <c r="T115" s="63">
        <f>--ISNUMBER(IF(StatusBranchGrade[[#This Row],[Spouse0]] = 'Calculation Worksheet'!$CG$6 &amp; "  /  " &amp; 'Calculation Worksheet'!$CG$7, 1, ""))</f>
        <v>0</v>
      </c>
      <c r="U115" s="63" t="str">
        <f>IF(StatusBranchGrade[[#This Row],[T1]] = 1, COUNTIF($T$3:T115, 1), "")</f>
        <v/>
      </c>
      <c r="V115" s="63" t="str">
        <f>IFERROR(INDEX(StatusBranchGrade[Rank/Grade], MATCH(ROWS($U$3:U115)-1, StatusBranchGrade[T2], 0)), "") &amp; ""</f>
        <v/>
      </c>
      <c r="W115" s="63"/>
    </row>
    <row r="116" spans="1:23" x14ac:dyDescent="0.25">
      <c r="A116">
        <v>4</v>
      </c>
      <c r="B116" t="s">
        <v>339</v>
      </c>
      <c r="C116" t="s">
        <v>181</v>
      </c>
      <c r="D116" t="s">
        <v>89</v>
      </c>
      <c r="E116" t="str">
        <f>IF(StatusBranchGrade[[#This Row],[Status]] = "CYS", "DoD", StatusBranchGrade[[#This Row],[Rank]] &amp; "")</f>
        <v>O-3</v>
      </c>
      <c r="F116" t="s">
        <v>89</v>
      </c>
      <c r="G116" t="str">
        <f>IF(StatusBranchGrade[[#This Row],[Rank]] = StatusBranchGrade[[#This Row],[Grade]], StatusBranchGrade[[#This Row],[Rank]], StatusBranchGrade[[#This Row],[Grade]] &amp; "/" &amp; StatusBranchGrade[[#This Row],[Rank]]) &amp; ""</f>
        <v>O-3</v>
      </c>
      <c r="H1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O-3</v>
      </c>
      <c r="I116" s="17" t="str">
        <f>SUBSTITUTE(SUBSTITUTE(SUBSTITUTE(StatusBranchGrade[[#This Row],[Status]] &amp; "  /  " &amp; StatusBranchGrade[[#This Row],[Branch]] &amp; ";", "  /  ;", ";"), "  /  ;", ";"), ";", "")</f>
        <v>Wounded Warrior--GC-approved  /  Marines</v>
      </c>
      <c r="J116">
        <v>12</v>
      </c>
      <c r="K116" s="17" t="str">
        <f>IF(LEFT(StatusBranchGrade[[#This Row],[Which]], 1) = "1", StatusBranchGrade[[#This Row],[Key]], "")</f>
        <v>Wounded Warrior--GC-approved  /  Marines  /  O-3</v>
      </c>
      <c r="L116" s="17" t="str">
        <f>IF(LEFT(StatusBranchGrade[[#This Row],[Which]], 1) = "1", StatusBranchGrade[[#This Row],[Key0]], "")</f>
        <v>Wounded Warrior--GC-approved  /  Marines</v>
      </c>
      <c r="M116" s="17" t="str">
        <f>IF(RIGHT(StatusBranchGrade[[#This Row],[Which]], 1) = "2", StatusBranchGrade[[#This Row],[Key]], "")</f>
        <v>Wounded Warrior--GC-approved  /  Marines  /  O-3</v>
      </c>
      <c r="N116" s="17" t="str">
        <f>IF(RIGHT(StatusBranchGrade[[#This Row],[Which]], 1) = "2", StatusBranchGrade[[#This Row],[Key0]], "")</f>
        <v>Wounded Warrior--GC-approved  /  Marines</v>
      </c>
      <c r="O116" s="17" t="s">
        <v>299</v>
      </c>
      <c r="P116" s="17"/>
      <c r="Q116" s="63">
        <f>--ISNUMBER(IF(StatusBranchGrade[[#This Row],[Sponsor0]] = 'Calculation Worksheet'!$AV$6 &amp; "  /  " &amp; 'Calculation Worksheet'!$AV$7, 1, ""))</f>
        <v>0</v>
      </c>
      <c r="R116" s="63" t="str">
        <f>IF(StatusBranchGrade[[#This Row],[S1]] = 1, COUNTIF($Q$3:Q116, 1), "")</f>
        <v/>
      </c>
      <c r="S116" s="63" t="str">
        <f>IFERROR(INDEX(StatusBranchGrade[Rank/Grade], MATCH(ROWS($R$3:R116)-1, StatusBranchGrade[S2], 0)), "") &amp; ""</f>
        <v/>
      </c>
      <c r="T116" s="63">
        <f>--ISNUMBER(IF(StatusBranchGrade[[#This Row],[Spouse0]] = 'Calculation Worksheet'!$CG$6 &amp; "  /  " &amp; 'Calculation Worksheet'!$CG$7, 1, ""))</f>
        <v>0</v>
      </c>
      <c r="U116" s="63" t="str">
        <f>IF(StatusBranchGrade[[#This Row],[T1]] = 1, COUNTIF($T$3:T116, 1), "")</f>
        <v/>
      </c>
      <c r="V116" s="63" t="str">
        <f>IFERROR(INDEX(StatusBranchGrade[Rank/Grade], MATCH(ROWS($U$3:U116)-1, StatusBranchGrade[T2], 0)), "") &amp; ""</f>
        <v/>
      </c>
      <c r="W116" s="63"/>
    </row>
    <row r="117" spans="1:23" x14ac:dyDescent="0.25">
      <c r="A117">
        <v>4</v>
      </c>
      <c r="B117" t="s">
        <v>339</v>
      </c>
      <c r="C117" t="s">
        <v>181</v>
      </c>
      <c r="D117" s="75" t="s">
        <v>12</v>
      </c>
      <c r="E117" s="75" t="str">
        <f>IF(StatusBranchGrade[[#This Row],[Status]] = "CYS", "DoD", StatusBranchGrade[[#This Row],[Rank]] &amp; "")</f>
        <v>O3E</v>
      </c>
      <c r="F117" s="75" t="s">
        <v>89</v>
      </c>
      <c r="G117" s="75" t="str">
        <f>IF(StatusBranchGrade[[#This Row],[Rank]] = StatusBranchGrade[[#This Row],[Grade]], StatusBranchGrade[[#This Row],[Rank]], StatusBranchGrade[[#This Row],[Grade]] &amp; "/" &amp; StatusBranchGrade[[#This Row],[Rank]]) &amp; ""</f>
        <v>O-3/O3E</v>
      </c>
      <c r="H1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O-3/O3E</v>
      </c>
      <c r="I117" s="17" t="str">
        <f>SUBSTITUTE(SUBSTITUTE(SUBSTITUTE(StatusBranchGrade[[#This Row],[Status]] &amp; "  /  " &amp; StatusBranchGrade[[#This Row],[Branch]] &amp; ";", "  /  ;", ";"), "  /  ;", ";"), ";", "")</f>
        <v>Wounded Warrior--GC-approved  /  Marines</v>
      </c>
      <c r="J117">
        <v>12</v>
      </c>
      <c r="K117" s="17" t="str">
        <f>IF(LEFT(StatusBranchGrade[[#This Row],[Which]], 1) = "1", StatusBranchGrade[[#This Row],[Key]], "")</f>
        <v>Wounded Warrior--GC-approved  /  Marines  /  O-3/O3E</v>
      </c>
      <c r="L117" s="17" t="str">
        <f>IF(LEFT(StatusBranchGrade[[#This Row],[Which]], 1) = "1", StatusBranchGrade[[#This Row],[Key0]], "")</f>
        <v>Wounded Warrior--GC-approved  /  Marines</v>
      </c>
      <c r="M117" s="17" t="str">
        <f>IF(RIGHT(StatusBranchGrade[[#This Row],[Which]], 1) = "2", StatusBranchGrade[[#This Row],[Key]], "")</f>
        <v>Wounded Warrior--GC-approved  /  Marines  /  O-3/O3E</v>
      </c>
      <c r="N117" s="17" t="str">
        <f>IF(RIGHT(StatusBranchGrade[[#This Row],[Which]], 1) = "2", StatusBranchGrade[[#This Row],[Key0]], "")</f>
        <v>Wounded Warrior--GC-approved  /  Marines</v>
      </c>
      <c r="O117" s="17" t="s">
        <v>299</v>
      </c>
      <c r="P117" s="17"/>
      <c r="Q117" s="63">
        <f>--ISNUMBER(IF(StatusBranchGrade[[#This Row],[Sponsor0]] = 'Calculation Worksheet'!$AV$6 &amp; "  /  " &amp; 'Calculation Worksheet'!$AV$7, 1, ""))</f>
        <v>0</v>
      </c>
      <c r="R117" s="63" t="str">
        <f>IF(StatusBranchGrade[[#This Row],[S1]] = 1, COUNTIF($Q$3:Q117, 1), "")</f>
        <v/>
      </c>
      <c r="S117" s="63" t="str">
        <f>IFERROR(INDEX(StatusBranchGrade[Rank/Grade], MATCH(ROWS($R$3:R117)-1, StatusBranchGrade[S2], 0)), "") &amp; ""</f>
        <v/>
      </c>
      <c r="T117" s="63">
        <f>--ISNUMBER(IF(StatusBranchGrade[[#This Row],[Spouse0]] = 'Calculation Worksheet'!$CG$6 &amp; "  /  " &amp; 'Calculation Worksheet'!$CG$7, 1, ""))</f>
        <v>0</v>
      </c>
      <c r="U117" s="63" t="str">
        <f>IF(StatusBranchGrade[[#This Row],[T1]] = 1, COUNTIF($T$3:T117, 1), "")</f>
        <v/>
      </c>
      <c r="V117" s="63" t="str">
        <f>IFERROR(INDEX(StatusBranchGrade[Rank/Grade], MATCH(ROWS($U$3:U117)-1, StatusBranchGrade[T2], 0)), "") &amp; ""</f>
        <v/>
      </c>
      <c r="W117" s="63"/>
    </row>
    <row r="118" spans="1:23" x14ac:dyDescent="0.25">
      <c r="A118">
        <v>4</v>
      </c>
      <c r="B118" t="s">
        <v>339</v>
      </c>
      <c r="C118" t="s">
        <v>181</v>
      </c>
      <c r="D118" t="s">
        <v>88</v>
      </c>
      <c r="E118" t="str">
        <f>IF(StatusBranchGrade[[#This Row],[Status]] = "CYS", "DoD", StatusBranchGrade[[#This Row],[Rank]] &amp; "")</f>
        <v>O-4</v>
      </c>
      <c r="F118" t="s">
        <v>88</v>
      </c>
      <c r="G118" t="str">
        <f>IF(StatusBranchGrade[[#This Row],[Rank]] = StatusBranchGrade[[#This Row],[Grade]], StatusBranchGrade[[#This Row],[Rank]], StatusBranchGrade[[#This Row],[Grade]] &amp; "/" &amp; StatusBranchGrade[[#This Row],[Rank]]) &amp; ""</f>
        <v>O-4</v>
      </c>
      <c r="H1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O-4</v>
      </c>
      <c r="I118" s="17" t="str">
        <f>SUBSTITUTE(SUBSTITUTE(SUBSTITUTE(StatusBranchGrade[[#This Row],[Status]] &amp; "  /  " &amp; StatusBranchGrade[[#This Row],[Branch]] &amp; ";", "  /  ;", ";"), "  /  ;", ";"), ";", "")</f>
        <v>Wounded Warrior--GC-approved  /  Marines</v>
      </c>
      <c r="J118">
        <v>12</v>
      </c>
      <c r="K118" s="17" t="str">
        <f>IF(LEFT(StatusBranchGrade[[#This Row],[Which]], 1) = "1", StatusBranchGrade[[#This Row],[Key]], "")</f>
        <v>Wounded Warrior--GC-approved  /  Marines  /  O-4</v>
      </c>
      <c r="L118" s="17" t="str">
        <f>IF(LEFT(StatusBranchGrade[[#This Row],[Which]], 1) = "1", StatusBranchGrade[[#This Row],[Key0]], "")</f>
        <v>Wounded Warrior--GC-approved  /  Marines</v>
      </c>
      <c r="M118" s="17" t="str">
        <f>IF(RIGHT(StatusBranchGrade[[#This Row],[Which]], 1) = "2", StatusBranchGrade[[#This Row],[Key]], "")</f>
        <v>Wounded Warrior--GC-approved  /  Marines  /  O-4</v>
      </c>
      <c r="N118" s="17" t="str">
        <f>IF(RIGHT(StatusBranchGrade[[#This Row],[Which]], 1) = "2", StatusBranchGrade[[#This Row],[Key0]], "")</f>
        <v>Wounded Warrior--GC-approved  /  Marines</v>
      </c>
      <c r="O118" s="17" t="s">
        <v>299</v>
      </c>
      <c r="P118" s="17"/>
      <c r="Q118" s="63">
        <f>--ISNUMBER(IF(StatusBranchGrade[[#This Row],[Sponsor0]] = 'Calculation Worksheet'!$AV$6 &amp; "  /  " &amp; 'Calculation Worksheet'!$AV$7, 1, ""))</f>
        <v>0</v>
      </c>
      <c r="R118" s="63" t="str">
        <f>IF(StatusBranchGrade[[#This Row],[S1]] = 1, COUNTIF($Q$3:Q118, 1), "")</f>
        <v/>
      </c>
      <c r="S118" s="63" t="str">
        <f>IFERROR(INDEX(StatusBranchGrade[Rank/Grade], MATCH(ROWS($R$3:R118)-1, StatusBranchGrade[S2], 0)), "") &amp; ""</f>
        <v/>
      </c>
      <c r="T118" s="63">
        <f>--ISNUMBER(IF(StatusBranchGrade[[#This Row],[Spouse0]] = 'Calculation Worksheet'!$CG$6 &amp; "  /  " &amp; 'Calculation Worksheet'!$CG$7, 1, ""))</f>
        <v>0</v>
      </c>
      <c r="U118" s="63" t="str">
        <f>IF(StatusBranchGrade[[#This Row],[T1]] = 1, COUNTIF($T$3:T118, 1), "")</f>
        <v/>
      </c>
      <c r="V118" s="63" t="str">
        <f>IFERROR(INDEX(StatusBranchGrade[Rank/Grade], MATCH(ROWS($U$3:U118)-1, StatusBranchGrade[T2], 0)), "") &amp; ""</f>
        <v/>
      </c>
      <c r="W118" s="63"/>
    </row>
    <row r="119" spans="1:23" x14ac:dyDescent="0.25">
      <c r="A119">
        <v>4</v>
      </c>
      <c r="B119" t="s">
        <v>339</v>
      </c>
      <c r="C119" t="s">
        <v>181</v>
      </c>
      <c r="D119" t="s">
        <v>87</v>
      </c>
      <c r="E119" t="str">
        <f>IF(StatusBranchGrade[[#This Row],[Status]] = "CYS", "DoD", StatusBranchGrade[[#This Row],[Rank]] &amp; "")</f>
        <v>O-5</v>
      </c>
      <c r="F119" t="s">
        <v>87</v>
      </c>
      <c r="G119" t="str">
        <f>IF(StatusBranchGrade[[#This Row],[Rank]] = StatusBranchGrade[[#This Row],[Grade]], StatusBranchGrade[[#This Row],[Rank]], StatusBranchGrade[[#This Row],[Grade]] &amp; "/" &amp; StatusBranchGrade[[#This Row],[Rank]]) &amp; ""</f>
        <v>O-5</v>
      </c>
      <c r="H1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O-5</v>
      </c>
      <c r="I119" s="17" t="str">
        <f>SUBSTITUTE(SUBSTITUTE(SUBSTITUTE(StatusBranchGrade[[#This Row],[Status]] &amp; "  /  " &amp; StatusBranchGrade[[#This Row],[Branch]] &amp; ";", "  /  ;", ";"), "  /  ;", ";"), ";", "")</f>
        <v>Wounded Warrior--GC-approved  /  Marines</v>
      </c>
      <c r="J119">
        <v>12</v>
      </c>
      <c r="K119" s="17" t="str">
        <f>IF(LEFT(StatusBranchGrade[[#This Row],[Which]], 1) = "1", StatusBranchGrade[[#This Row],[Key]], "")</f>
        <v>Wounded Warrior--GC-approved  /  Marines  /  O-5</v>
      </c>
      <c r="L119" s="17" t="str">
        <f>IF(LEFT(StatusBranchGrade[[#This Row],[Which]], 1) = "1", StatusBranchGrade[[#This Row],[Key0]], "")</f>
        <v>Wounded Warrior--GC-approved  /  Marines</v>
      </c>
      <c r="M119" s="17" t="str">
        <f>IF(RIGHT(StatusBranchGrade[[#This Row],[Which]], 1) = "2", StatusBranchGrade[[#This Row],[Key]], "")</f>
        <v>Wounded Warrior--GC-approved  /  Marines  /  O-5</v>
      </c>
      <c r="N119" s="17" t="str">
        <f>IF(RIGHT(StatusBranchGrade[[#This Row],[Which]], 1) = "2", StatusBranchGrade[[#This Row],[Key0]], "")</f>
        <v>Wounded Warrior--GC-approved  /  Marines</v>
      </c>
      <c r="O119" s="17" t="s">
        <v>299</v>
      </c>
      <c r="P119" s="17"/>
      <c r="Q119" s="63">
        <f>--ISNUMBER(IF(StatusBranchGrade[[#This Row],[Sponsor0]] = 'Calculation Worksheet'!$AV$6 &amp; "  /  " &amp; 'Calculation Worksheet'!$AV$7, 1, ""))</f>
        <v>0</v>
      </c>
      <c r="R119" s="63" t="str">
        <f>IF(StatusBranchGrade[[#This Row],[S1]] = 1, COUNTIF($Q$3:Q119, 1), "")</f>
        <v/>
      </c>
      <c r="S119" s="63" t="str">
        <f>IFERROR(INDEX(StatusBranchGrade[Rank/Grade], MATCH(ROWS($R$3:R119)-1, StatusBranchGrade[S2], 0)), "") &amp; ""</f>
        <v/>
      </c>
      <c r="T119" s="63">
        <f>--ISNUMBER(IF(StatusBranchGrade[[#This Row],[Spouse0]] = 'Calculation Worksheet'!$CG$6 &amp; "  /  " &amp; 'Calculation Worksheet'!$CG$7, 1, ""))</f>
        <v>0</v>
      </c>
      <c r="U119" s="63" t="str">
        <f>IF(StatusBranchGrade[[#This Row],[T1]] = 1, COUNTIF($T$3:T119, 1), "")</f>
        <v/>
      </c>
      <c r="V119" s="63" t="str">
        <f>IFERROR(INDEX(StatusBranchGrade[Rank/Grade], MATCH(ROWS($U$3:U119)-1, StatusBranchGrade[T2], 0)), "") &amp; ""</f>
        <v/>
      </c>
      <c r="W119" s="63"/>
    </row>
    <row r="120" spans="1:23" x14ac:dyDescent="0.25">
      <c r="A120">
        <v>4</v>
      </c>
      <c r="B120" t="s">
        <v>339</v>
      </c>
      <c r="C120" t="s">
        <v>181</v>
      </c>
      <c r="D120" t="s">
        <v>86</v>
      </c>
      <c r="E120" t="str">
        <f>IF(StatusBranchGrade[[#This Row],[Status]] = "CYS", "DoD", StatusBranchGrade[[#This Row],[Rank]] &amp; "")</f>
        <v>O-6</v>
      </c>
      <c r="F120" t="s">
        <v>86</v>
      </c>
      <c r="G120" t="str">
        <f>IF(StatusBranchGrade[[#This Row],[Rank]] = StatusBranchGrade[[#This Row],[Grade]], StatusBranchGrade[[#This Row],[Rank]], StatusBranchGrade[[#This Row],[Grade]] &amp; "/" &amp; StatusBranchGrade[[#This Row],[Rank]]) &amp; ""</f>
        <v>O-6</v>
      </c>
      <c r="H1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O-6</v>
      </c>
      <c r="I120" s="17" t="str">
        <f>SUBSTITUTE(SUBSTITUTE(SUBSTITUTE(StatusBranchGrade[[#This Row],[Status]] &amp; "  /  " &amp; StatusBranchGrade[[#This Row],[Branch]] &amp; ";", "  /  ;", ";"), "  /  ;", ";"), ";", "")</f>
        <v>Wounded Warrior--GC-approved  /  Marines</v>
      </c>
      <c r="J120">
        <v>12</v>
      </c>
      <c r="K120" s="17" t="str">
        <f>IF(LEFT(StatusBranchGrade[[#This Row],[Which]], 1) = "1", StatusBranchGrade[[#This Row],[Key]], "")</f>
        <v>Wounded Warrior--GC-approved  /  Marines  /  O-6</v>
      </c>
      <c r="L120" s="17" t="str">
        <f>IF(LEFT(StatusBranchGrade[[#This Row],[Which]], 1) = "1", StatusBranchGrade[[#This Row],[Key0]], "")</f>
        <v>Wounded Warrior--GC-approved  /  Marines</v>
      </c>
      <c r="M120" s="17" t="str">
        <f>IF(RIGHT(StatusBranchGrade[[#This Row],[Which]], 1) = "2", StatusBranchGrade[[#This Row],[Key]], "")</f>
        <v>Wounded Warrior--GC-approved  /  Marines  /  O-6</v>
      </c>
      <c r="N120" s="17" t="str">
        <f>IF(RIGHT(StatusBranchGrade[[#This Row],[Which]], 1) = "2", StatusBranchGrade[[#This Row],[Key0]], "")</f>
        <v>Wounded Warrior--GC-approved  /  Marines</v>
      </c>
      <c r="O120" s="17" t="s">
        <v>299</v>
      </c>
      <c r="P120" s="17"/>
      <c r="Q120" s="63">
        <f>--ISNUMBER(IF(StatusBranchGrade[[#This Row],[Sponsor0]] = 'Calculation Worksheet'!$AV$6 &amp; "  /  " &amp; 'Calculation Worksheet'!$AV$7, 1, ""))</f>
        <v>0</v>
      </c>
      <c r="R120" s="63" t="str">
        <f>IF(StatusBranchGrade[[#This Row],[S1]] = 1, COUNTIF($Q$3:Q120, 1), "")</f>
        <v/>
      </c>
      <c r="S120" s="63" t="str">
        <f>IFERROR(INDEX(StatusBranchGrade[Rank/Grade], MATCH(ROWS($R$3:R120)-1, StatusBranchGrade[S2], 0)), "") &amp; ""</f>
        <v/>
      </c>
      <c r="T120" s="63">
        <f>--ISNUMBER(IF(StatusBranchGrade[[#This Row],[Spouse0]] = 'Calculation Worksheet'!$CG$6 &amp; "  /  " &amp; 'Calculation Worksheet'!$CG$7, 1, ""))</f>
        <v>0</v>
      </c>
      <c r="U120" s="63" t="str">
        <f>IF(StatusBranchGrade[[#This Row],[T1]] = 1, COUNTIF($T$3:T120, 1), "")</f>
        <v/>
      </c>
      <c r="V120" s="63" t="str">
        <f>IFERROR(INDEX(StatusBranchGrade[Rank/Grade], MATCH(ROWS($U$3:U120)-1, StatusBranchGrade[T2], 0)), "") &amp; ""</f>
        <v/>
      </c>
      <c r="W120" s="63"/>
    </row>
    <row r="121" spans="1:23" x14ac:dyDescent="0.25">
      <c r="A121">
        <v>4</v>
      </c>
      <c r="B121" t="s">
        <v>339</v>
      </c>
      <c r="C121" t="s">
        <v>181</v>
      </c>
      <c r="D121" t="s">
        <v>85</v>
      </c>
      <c r="E121" t="str">
        <f>IF(StatusBranchGrade[[#This Row],[Status]] = "CYS", "DoD", StatusBranchGrade[[#This Row],[Rank]] &amp; "")</f>
        <v>O-7</v>
      </c>
      <c r="F121" t="s">
        <v>85</v>
      </c>
      <c r="G121" t="str">
        <f>IF(StatusBranchGrade[[#This Row],[Rank]] = StatusBranchGrade[[#This Row],[Grade]], StatusBranchGrade[[#This Row],[Rank]], StatusBranchGrade[[#This Row],[Grade]] &amp; "/" &amp; StatusBranchGrade[[#This Row],[Rank]]) &amp; ""</f>
        <v>O-7</v>
      </c>
      <c r="H1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O-7</v>
      </c>
      <c r="I121" s="17" t="str">
        <f>SUBSTITUTE(SUBSTITUTE(SUBSTITUTE(StatusBranchGrade[[#This Row],[Status]] &amp; "  /  " &amp; StatusBranchGrade[[#This Row],[Branch]] &amp; ";", "  /  ;", ";"), "  /  ;", ";"), ";", "")</f>
        <v>Wounded Warrior--GC-approved  /  Marines</v>
      </c>
      <c r="J121">
        <v>12</v>
      </c>
      <c r="K121" s="17" t="str">
        <f>IF(LEFT(StatusBranchGrade[[#This Row],[Which]], 1) = "1", StatusBranchGrade[[#This Row],[Key]], "")</f>
        <v>Wounded Warrior--GC-approved  /  Marines  /  O-7</v>
      </c>
      <c r="L121" s="17" t="str">
        <f>IF(LEFT(StatusBranchGrade[[#This Row],[Which]], 1) = "1", StatusBranchGrade[[#This Row],[Key0]], "")</f>
        <v>Wounded Warrior--GC-approved  /  Marines</v>
      </c>
      <c r="M121" s="17" t="str">
        <f>IF(RIGHT(StatusBranchGrade[[#This Row],[Which]], 1) = "2", StatusBranchGrade[[#This Row],[Key]], "")</f>
        <v>Wounded Warrior--GC-approved  /  Marines  /  O-7</v>
      </c>
      <c r="N121" s="17" t="str">
        <f>IF(RIGHT(StatusBranchGrade[[#This Row],[Which]], 1) = "2", StatusBranchGrade[[#This Row],[Key0]], "")</f>
        <v>Wounded Warrior--GC-approved  /  Marines</v>
      </c>
      <c r="O121" s="17" t="s">
        <v>299</v>
      </c>
      <c r="P121" s="17"/>
      <c r="Q121" s="63">
        <f>--ISNUMBER(IF(StatusBranchGrade[[#This Row],[Sponsor0]] = 'Calculation Worksheet'!$AV$6 &amp; "  /  " &amp; 'Calculation Worksheet'!$AV$7, 1, ""))</f>
        <v>0</v>
      </c>
      <c r="R121" s="63" t="str">
        <f>IF(StatusBranchGrade[[#This Row],[S1]] = 1, COUNTIF($Q$3:Q121, 1), "")</f>
        <v/>
      </c>
      <c r="S121" s="63" t="str">
        <f>IFERROR(INDEX(StatusBranchGrade[Rank/Grade], MATCH(ROWS($R$3:R121)-1, StatusBranchGrade[S2], 0)), "") &amp; ""</f>
        <v/>
      </c>
      <c r="T121" s="63">
        <f>--ISNUMBER(IF(StatusBranchGrade[[#This Row],[Spouse0]] = 'Calculation Worksheet'!$CG$6 &amp; "  /  " &amp; 'Calculation Worksheet'!$CG$7, 1, ""))</f>
        <v>0</v>
      </c>
      <c r="U121" s="63" t="str">
        <f>IF(StatusBranchGrade[[#This Row],[T1]] = 1, COUNTIF($T$3:T121, 1), "")</f>
        <v/>
      </c>
      <c r="V121" s="63" t="str">
        <f>IFERROR(INDEX(StatusBranchGrade[Rank/Grade], MATCH(ROWS($U$3:U121)-1, StatusBranchGrade[T2], 0)), "") &amp; ""</f>
        <v/>
      </c>
      <c r="W121" s="63"/>
    </row>
    <row r="122" spans="1:23" x14ac:dyDescent="0.25">
      <c r="A122">
        <v>4</v>
      </c>
      <c r="B122" t="s">
        <v>339</v>
      </c>
      <c r="C122" t="s">
        <v>181</v>
      </c>
      <c r="D122" t="s">
        <v>84</v>
      </c>
      <c r="E122" t="str">
        <f>IF(StatusBranchGrade[[#This Row],[Status]] = "CYS", "DoD", StatusBranchGrade[[#This Row],[Rank]] &amp; "")</f>
        <v>O-8</v>
      </c>
      <c r="F122" t="s">
        <v>84</v>
      </c>
      <c r="G122" t="str">
        <f>IF(StatusBranchGrade[[#This Row],[Rank]] = StatusBranchGrade[[#This Row],[Grade]], StatusBranchGrade[[#This Row],[Rank]], StatusBranchGrade[[#This Row],[Grade]] &amp; "/" &amp; StatusBranchGrade[[#This Row],[Rank]]) &amp; ""</f>
        <v>O-8</v>
      </c>
      <c r="H1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O-8</v>
      </c>
      <c r="I122" s="17" t="str">
        <f>SUBSTITUTE(SUBSTITUTE(SUBSTITUTE(StatusBranchGrade[[#This Row],[Status]] &amp; "  /  " &amp; StatusBranchGrade[[#This Row],[Branch]] &amp; ";", "  /  ;", ";"), "  /  ;", ";"), ";", "")</f>
        <v>Wounded Warrior--GC-approved  /  Marines</v>
      </c>
      <c r="J122">
        <v>12</v>
      </c>
      <c r="K122" s="17" t="str">
        <f>IF(LEFT(StatusBranchGrade[[#This Row],[Which]], 1) = "1", StatusBranchGrade[[#This Row],[Key]], "")</f>
        <v>Wounded Warrior--GC-approved  /  Marines  /  O-8</v>
      </c>
      <c r="L122" s="17" t="str">
        <f>IF(LEFT(StatusBranchGrade[[#This Row],[Which]], 1) = "1", StatusBranchGrade[[#This Row],[Key0]], "")</f>
        <v>Wounded Warrior--GC-approved  /  Marines</v>
      </c>
      <c r="M122" s="17" t="str">
        <f>IF(RIGHT(StatusBranchGrade[[#This Row],[Which]], 1) = "2", StatusBranchGrade[[#This Row],[Key]], "")</f>
        <v>Wounded Warrior--GC-approved  /  Marines  /  O-8</v>
      </c>
      <c r="N122" s="17" t="str">
        <f>IF(RIGHT(StatusBranchGrade[[#This Row],[Which]], 1) = "2", StatusBranchGrade[[#This Row],[Key0]], "")</f>
        <v>Wounded Warrior--GC-approved  /  Marines</v>
      </c>
      <c r="O122" s="17" t="s">
        <v>299</v>
      </c>
      <c r="P122" s="17"/>
      <c r="Q122" s="63">
        <f>--ISNUMBER(IF(StatusBranchGrade[[#This Row],[Sponsor0]] = 'Calculation Worksheet'!$AV$6 &amp; "  /  " &amp; 'Calculation Worksheet'!$AV$7, 1, ""))</f>
        <v>0</v>
      </c>
      <c r="R122" s="63" t="str">
        <f>IF(StatusBranchGrade[[#This Row],[S1]] = 1, COUNTIF($Q$3:Q122, 1), "")</f>
        <v/>
      </c>
      <c r="S122" s="63" t="str">
        <f>IFERROR(INDEX(StatusBranchGrade[Rank/Grade], MATCH(ROWS($R$3:R122)-1, StatusBranchGrade[S2], 0)), "") &amp; ""</f>
        <v/>
      </c>
      <c r="T122" s="63">
        <f>--ISNUMBER(IF(StatusBranchGrade[[#This Row],[Spouse0]] = 'Calculation Worksheet'!$CG$6 &amp; "  /  " &amp; 'Calculation Worksheet'!$CG$7, 1, ""))</f>
        <v>0</v>
      </c>
      <c r="U122" s="63" t="str">
        <f>IF(StatusBranchGrade[[#This Row],[T1]] = 1, COUNTIF($T$3:T122, 1), "")</f>
        <v/>
      </c>
      <c r="V122" s="63" t="str">
        <f>IFERROR(INDEX(StatusBranchGrade[Rank/Grade], MATCH(ROWS($U$3:U122)-1, StatusBranchGrade[T2], 0)), "") &amp; ""</f>
        <v/>
      </c>
      <c r="W122" s="63"/>
    </row>
    <row r="123" spans="1:23" x14ac:dyDescent="0.25">
      <c r="A123">
        <v>4</v>
      </c>
      <c r="B123" t="s">
        <v>339</v>
      </c>
      <c r="C123" t="s">
        <v>181</v>
      </c>
      <c r="D123" t="s">
        <v>83</v>
      </c>
      <c r="E123" t="str">
        <f>IF(StatusBranchGrade[[#This Row],[Status]] = "CYS", "DoD", StatusBranchGrade[[#This Row],[Rank]] &amp; "")</f>
        <v>O-9</v>
      </c>
      <c r="F123" t="s">
        <v>83</v>
      </c>
      <c r="G123" t="str">
        <f>IF(StatusBranchGrade[[#This Row],[Rank]] = StatusBranchGrade[[#This Row],[Grade]], StatusBranchGrade[[#This Row],[Rank]], StatusBranchGrade[[#This Row],[Grade]] &amp; "/" &amp; StatusBranchGrade[[#This Row],[Rank]]) &amp; ""</f>
        <v>O-9</v>
      </c>
      <c r="H1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O-9</v>
      </c>
      <c r="I123" s="17" t="str">
        <f>SUBSTITUTE(SUBSTITUTE(SUBSTITUTE(StatusBranchGrade[[#This Row],[Status]] &amp; "  /  " &amp; StatusBranchGrade[[#This Row],[Branch]] &amp; ";", "  /  ;", ";"), "  /  ;", ";"), ";", "")</f>
        <v>Wounded Warrior--GC-approved  /  Marines</v>
      </c>
      <c r="J123">
        <v>12</v>
      </c>
      <c r="K123" s="17" t="str">
        <f>IF(LEFT(StatusBranchGrade[[#This Row],[Which]], 1) = "1", StatusBranchGrade[[#This Row],[Key]], "")</f>
        <v>Wounded Warrior--GC-approved  /  Marines  /  O-9</v>
      </c>
      <c r="L123" s="17" t="str">
        <f>IF(LEFT(StatusBranchGrade[[#This Row],[Which]], 1) = "1", StatusBranchGrade[[#This Row],[Key0]], "")</f>
        <v>Wounded Warrior--GC-approved  /  Marines</v>
      </c>
      <c r="M123" s="17" t="str">
        <f>IF(RIGHT(StatusBranchGrade[[#This Row],[Which]], 1) = "2", StatusBranchGrade[[#This Row],[Key]], "")</f>
        <v>Wounded Warrior--GC-approved  /  Marines  /  O-9</v>
      </c>
      <c r="N123" s="17" t="str">
        <f>IF(RIGHT(StatusBranchGrade[[#This Row],[Which]], 1) = "2", StatusBranchGrade[[#This Row],[Key0]], "")</f>
        <v>Wounded Warrior--GC-approved  /  Marines</v>
      </c>
      <c r="O123" s="17" t="s">
        <v>299</v>
      </c>
      <c r="P123" s="17"/>
      <c r="Q123" s="63">
        <f>--ISNUMBER(IF(StatusBranchGrade[[#This Row],[Sponsor0]] = 'Calculation Worksheet'!$AV$6 &amp; "  /  " &amp; 'Calculation Worksheet'!$AV$7, 1, ""))</f>
        <v>0</v>
      </c>
      <c r="R123" s="63" t="str">
        <f>IF(StatusBranchGrade[[#This Row],[S1]] = 1, COUNTIF($Q$3:Q123, 1), "")</f>
        <v/>
      </c>
      <c r="S123" s="63" t="str">
        <f>IFERROR(INDEX(StatusBranchGrade[Rank/Grade], MATCH(ROWS($R$3:R123)-1, StatusBranchGrade[S2], 0)), "") &amp; ""</f>
        <v/>
      </c>
      <c r="T123" s="63">
        <f>--ISNUMBER(IF(StatusBranchGrade[[#This Row],[Spouse0]] = 'Calculation Worksheet'!$CG$6 &amp; "  /  " &amp; 'Calculation Worksheet'!$CG$7, 1, ""))</f>
        <v>0</v>
      </c>
      <c r="U123" s="63" t="str">
        <f>IF(StatusBranchGrade[[#This Row],[T1]] = 1, COUNTIF($T$3:T123, 1), "")</f>
        <v/>
      </c>
      <c r="V123" s="63" t="str">
        <f>IFERROR(INDEX(StatusBranchGrade[Rank/Grade], MATCH(ROWS($U$3:U123)-1, StatusBranchGrade[T2], 0)), "") &amp; ""</f>
        <v/>
      </c>
      <c r="W123" s="63"/>
    </row>
    <row r="124" spans="1:23" x14ac:dyDescent="0.25">
      <c r="A124">
        <v>4</v>
      </c>
      <c r="B124" t="s">
        <v>339</v>
      </c>
      <c r="C124" t="s">
        <v>181</v>
      </c>
      <c r="D124" t="s">
        <v>95</v>
      </c>
      <c r="E124" t="str">
        <f>IF(StatusBranchGrade[[#This Row],[Status]] = "CYS", "DoD", StatusBranchGrade[[#This Row],[Rank]] &amp; "")</f>
        <v>W-2</v>
      </c>
      <c r="F124" t="s">
        <v>95</v>
      </c>
      <c r="G124" t="str">
        <f>IF(StatusBranchGrade[[#This Row],[Rank]] = StatusBranchGrade[[#This Row],[Grade]], StatusBranchGrade[[#This Row],[Rank]], StatusBranchGrade[[#This Row],[Grade]] &amp; "/" &amp; StatusBranchGrade[[#This Row],[Rank]]) &amp; ""</f>
        <v>W-2</v>
      </c>
      <c r="H1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W-2</v>
      </c>
      <c r="I124" s="17" t="str">
        <f>SUBSTITUTE(SUBSTITUTE(SUBSTITUTE(StatusBranchGrade[[#This Row],[Status]] &amp; "  /  " &amp; StatusBranchGrade[[#This Row],[Branch]] &amp; ";", "  /  ;", ";"), "  /  ;", ";"), ";", "")</f>
        <v>Wounded Warrior--GC-approved  /  Marines</v>
      </c>
      <c r="J124">
        <v>12</v>
      </c>
      <c r="K124" s="17" t="str">
        <f>IF(LEFT(StatusBranchGrade[[#This Row],[Which]], 1) = "1", StatusBranchGrade[[#This Row],[Key]], "")</f>
        <v>Wounded Warrior--GC-approved  /  Marines  /  W-2</v>
      </c>
      <c r="L124" s="17" t="str">
        <f>IF(LEFT(StatusBranchGrade[[#This Row],[Which]], 1) = "1", StatusBranchGrade[[#This Row],[Key0]], "")</f>
        <v>Wounded Warrior--GC-approved  /  Marines</v>
      </c>
      <c r="M124" s="17" t="str">
        <f>IF(RIGHT(StatusBranchGrade[[#This Row],[Which]], 1) = "2", StatusBranchGrade[[#This Row],[Key]], "")</f>
        <v>Wounded Warrior--GC-approved  /  Marines  /  W-2</v>
      </c>
      <c r="N124" s="17" t="str">
        <f>IF(RIGHT(StatusBranchGrade[[#This Row],[Which]], 1) = "2", StatusBranchGrade[[#This Row],[Key0]], "")</f>
        <v>Wounded Warrior--GC-approved  /  Marines</v>
      </c>
      <c r="O124" s="17" t="s">
        <v>299</v>
      </c>
      <c r="P124" s="17"/>
      <c r="Q124" s="63">
        <f>--ISNUMBER(IF(StatusBranchGrade[[#This Row],[Sponsor0]] = 'Calculation Worksheet'!$AV$6 &amp; "  /  " &amp; 'Calculation Worksheet'!$AV$7, 1, ""))</f>
        <v>0</v>
      </c>
      <c r="R124" s="63" t="str">
        <f>IF(StatusBranchGrade[[#This Row],[S1]] = 1, COUNTIF($Q$3:Q124, 1), "")</f>
        <v/>
      </c>
      <c r="S124" s="63" t="str">
        <f>IFERROR(INDEX(StatusBranchGrade[Rank/Grade], MATCH(ROWS($R$3:R124)-1, StatusBranchGrade[S2], 0)), "") &amp; ""</f>
        <v/>
      </c>
      <c r="T124" s="63">
        <f>--ISNUMBER(IF(StatusBranchGrade[[#This Row],[Spouse0]] = 'Calculation Worksheet'!$CG$6 &amp; "  /  " &amp; 'Calculation Worksheet'!$CG$7, 1, ""))</f>
        <v>0</v>
      </c>
      <c r="U124" s="63" t="str">
        <f>IF(StatusBranchGrade[[#This Row],[T1]] = 1, COUNTIF($T$3:T124, 1), "")</f>
        <v/>
      </c>
      <c r="V124" s="63" t="str">
        <f>IFERROR(INDEX(StatusBranchGrade[Rank/Grade], MATCH(ROWS($U$3:U124)-1, StatusBranchGrade[T2], 0)), "") &amp; ""</f>
        <v/>
      </c>
      <c r="W124" s="63"/>
    </row>
    <row r="125" spans="1:23" x14ac:dyDescent="0.25">
      <c r="A125">
        <v>4</v>
      </c>
      <c r="B125" t="s">
        <v>339</v>
      </c>
      <c r="C125" t="s">
        <v>181</v>
      </c>
      <c r="D125" t="s">
        <v>94</v>
      </c>
      <c r="E125" t="str">
        <f>IF(StatusBranchGrade[[#This Row],[Status]] = "CYS", "DoD", StatusBranchGrade[[#This Row],[Rank]] &amp; "")</f>
        <v>W-3</v>
      </c>
      <c r="F125" t="s">
        <v>94</v>
      </c>
      <c r="G125" t="str">
        <f>IF(StatusBranchGrade[[#This Row],[Rank]] = StatusBranchGrade[[#This Row],[Grade]], StatusBranchGrade[[#This Row],[Rank]], StatusBranchGrade[[#This Row],[Grade]] &amp; "/" &amp; StatusBranchGrade[[#This Row],[Rank]]) &amp; ""</f>
        <v>W-3</v>
      </c>
      <c r="H1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W-3</v>
      </c>
      <c r="I125" s="17" t="str">
        <f>SUBSTITUTE(SUBSTITUTE(SUBSTITUTE(StatusBranchGrade[[#This Row],[Status]] &amp; "  /  " &amp; StatusBranchGrade[[#This Row],[Branch]] &amp; ";", "  /  ;", ";"), "  /  ;", ";"), ";", "")</f>
        <v>Wounded Warrior--GC-approved  /  Marines</v>
      </c>
      <c r="J125">
        <v>12</v>
      </c>
      <c r="K125" s="17" t="str">
        <f>IF(LEFT(StatusBranchGrade[[#This Row],[Which]], 1) = "1", StatusBranchGrade[[#This Row],[Key]], "")</f>
        <v>Wounded Warrior--GC-approved  /  Marines  /  W-3</v>
      </c>
      <c r="L125" s="17" t="str">
        <f>IF(LEFT(StatusBranchGrade[[#This Row],[Which]], 1) = "1", StatusBranchGrade[[#This Row],[Key0]], "")</f>
        <v>Wounded Warrior--GC-approved  /  Marines</v>
      </c>
      <c r="M125" s="17" t="str">
        <f>IF(RIGHT(StatusBranchGrade[[#This Row],[Which]], 1) = "2", StatusBranchGrade[[#This Row],[Key]], "")</f>
        <v>Wounded Warrior--GC-approved  /  Marines  /  W-3</v>
      </c>
      <c r="N125" s="17" t="str">
        <f>IF(RIGHT(StatusBranchGrade[[#This Row],[Which]], 1) = "2", StatusBranchGrade[[#This Row],[Key0]], "")</f>
        <v>Wounded Warrior--GC-approved  /  Marines</v>
      </c>
      <c r="O125" s="17" t="s">
        <v>299</v>
      </c>
      <c r="P125" s="17"/>
      <c r="Q125" s="63">
        <f>--ISNUMBER(IF(StatusBranchGrade[[#This Row],[Sponsor0]] = 'Calculation Worksheet'!$AV$6 &amp; "  /  " &amp; 'Calculation Worksheet'!$AV$7, 1, ""))</f>
        <v>0</v>
      </c>
      <c r="R125" s="63" t="str">
        <f>IF(StatusBranchGrade[[#This Row],[S1]] = 1, COUNTIF($Q$3:Q125, 1), "")</f>
        <v/>
      </c>
      <c r="S125" s="63" t="str">
        <f>IFERROR(INDEX(StatusBranchGrade[Rank/Grade], MATCH(ROWS($R$3:R125)-1, StatusBranchGrade[S2], 0)), "") &amp; ""</f>
        <v/>
      </c>
      <c r="T125" s="63">
        <f>--ISNUMBER(IF(StatusBranchGrade[[#This Row],[Spouse0]] = 'Calculation Worksheet'!$CG$6 &amp; "  /  " &amp; 'Calculation Worksheet'!$CG$7, 1, ""))</f>
        <v>0</v>
      </c>
      <c r="U125" s="63" t="str">
        <f>IF(StatusBranchGrade[[#This Row],[T1]] = 1, COUNTIF($T$3:T125, 1), "")</f>
        <v/>
      </c>
      <c r="V125" s="63" t="str">
        <f>IFERROR(INDEX(StatusBranchGrade[Rank/Grade], MATCH(ROWS($U$3:U125)-1, StatusBranchGrade[T2], 0)), "") &amp; ""</f>
        <v/>
      </c>
      <c r="W125" s="63"/>
    </row>
    <row r="126" spans="1:23" x14ac:dyDescent="0.25">
      <c r="A126">
        <v>4</v>
      </c>
      <c r="B126" t="s">
        <v>339</v>
      </c>
      <c r="C126" t="s">
        <v>181</v>
      </c>
      <c r="D126" t="s">
        <v>93</v>
      </c>
      <c r="E126" t="str">
        <f>IF(StatusBranchGrade[[#This Row],[Status]] = "CYS", "DoD", StatusBranchGrade[[#This Row],[Rank]] &amp; "")</f>
        <v>W-4</v>
      </c>
      <c r="F126" t="s">
        <v>93</v>
      </c>
      <c r="G126" t="str">
        <f>IF(StatusBranchGrade[[#This Row],[Rank]] = StatusBranchGrade[[#This Row],[Grade]], StatusBranchGrade[[#This Row],[Rank]], StatusBranchGrade[[#This Row],[Grade]] &amp; "/" &amp; StatusBranchGrade[[#This Row],[Rank]]) &amp; ""</f>
        <v>W-4</v>
      </c>
      <c r="H1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W-4</v>
      </c>
      <c r="I126" s="17" t="str">
        <f>SUBSTITUTE(SUBSTITUTE(SUBSTITUTE(StatusBranchGrade[[#This Row],[Status]] &amp; "  /  " &amp; StatusBranchGrade[[#This Row],[Branch]] &amp; ";", "  /  ;", ";"), "  /  ;", ";"), ";", "")</f>
        <v>Wounded Warrior--GC-approved  /  Marines</v>
      </c>
      <c r="J126">
        <v>12</v>
      </c>
      <c r="K126" s="17" t="str">
        <f>IF(LEFT(StatusBranchGrade[[#This Row],[Which]], 1) = "1", StatusBranchGrade[[#This Row],[Key]], "")</f>
        <v>Wounded Warrior--GC-approved  /  Marines  /  W-4</v>
      </c>
      <c r="L126" s="17" t="str">
        <f>IF(LEFT(StatusBranchGrade[[#This Row],[Which]], 1) = "1", StatusBranchGrade[[#This Row],[Key0]], "")</f>
        <v>Wounded Warrior--GC-approved  /  Marines</v>
      </c>
      <c r="M126" s="17" t="str">
        <f>IF(RIGHT(StatusBranchGrade[[#This Row],[Which]], 1) = "2", StatusBranchGrade[[#This Row],[Key]], "")</f>
        <v>Wounded Warrior--GC-approved  /  Marines  /  W-4</v>
      </c>
      <c r="N126" s="17" t="str">
        <f>IF(RIGHT(StatusBranchGrade[[#This Row],[Which]], 1) = "2", StatusBranchGrade[[#This Row],[Key0]], "")</f>
        <v>Wounded Warrior--GC-approved  /  Marines</v>
      </c>
      <c r="O126" s="17" t="s">
        <v>299</v>
      </c>
      <c r="P126" s="17"/>
      <c r="Q126" s="63">
        <f>--ISNUMBER(IF(StatusBranchGrade[[#This Row],[Sponsor0]] = 'Calculation Worksheet'!$AV$6 &amp; "  /  " &amp; 'Calculation Worksheet'!$AV$7, 1, ""))</f>
        <v>0</v>
      </c>
      <c r="R126" s="63" t="str">
        <f>IF(StatusBranchGrade[[#This Row],[S1]] = 1, COUNTIF($Q$3:Q126, 1), "")</f>
        <v/>
      </c>
      <c r="S126" s="63" t="str">
        <f>IFERROR(INDEX(StatusBranchGrade[Rank/Grade], MATCH(ROWS($R$3:R126)-1, StatusBranchGrade[S2], 0)), "") &amp; ""</f>
        <v/>
      </c>
      <c r="T126" s="63">
        <f>--ISNUMBER(IF(StatusBranchGrade[[#This Row],[Spouse0]] = 'Calculation Worksheet'!$CG$6 &amp; "  /  " &amp; 'Calculation Worksheet'!$CG$7, 1, ""))</f>
        <v>0</v>
      </c>
      <c r="U126" s="63" t="str">
        <f>IF(StatusBranchGrade[[#This Row],[T1]] = 1, COUNTIF($T$3:T126, 1), "")</f>
        <v/>
      </c>
      <c r="V126" s="63" t="str">
        <f>IFERROR(INDEX(StatusBranchGrade[Rank/Grade], MATCH(ROWS($U$3:U126)-1, StatusBranchGrade[T2], 0)), "") &amp; ""</f>
        <v/>
      </c>
      <c r="W126" s="63"/>
    </row>
    <row r="127" spans="1:23" x14ac:dyDescent="0.25">
      <c r="A127">
        <v>4</v>
      </c>
      <c r="B127" t="s">
        <v>339</v>
      </c>
      <c r="C127" t="s">
        <v>181</v>
      </c>
      <c r="D127" t="s">
        <v>96</v>
      </c>
      <c r="E127" t="str">
        <f>IF(StatusBranchGrade[[#This Row],[Status]] = "CYS", "DoD", StatusBranchGrade[[#This Row],[Rank]] &amp; "")</f>
        <v>W-1</v>
      </c>
      <c r="F127" t="s">
        <v>179</v>
      </c>
      <c r="G127" t="str">
        <f>IF(StatusBranchGrade[[#This Row],[Rank]] = StatusBranchGrade[[#This Row],[Grade]], StatusBranchGrade[[#This Row],[Rank]], StatusBranchGrade[[#This Row],[Grade]] &amp; "/" &amp; StatusBranchGrade[[#This Row],[Rank]]) &amp; ""</f>
        <v>WO1/W-1</v>
      </c>
      <c r="H1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Marines  /  WO1/W-1</v>
      </c>
      <c r="I127" s="17" t="str">
        <f>SUBSTITUTE(SUBSTITUTE(SUBSTITUTE(StatusBranchGrade[[#This Row],[Status]] &amp; "  /  " &amp; StatusBranchGrade[[#This Row],[Branch]] &amp; ";", "  /  ;", ";"), "  /  ;", ";"), ";", "")</f>
        <v>Wounded Warrior--GC-approved  /  Marines</v>
      </c>
      <c r="J127">
        <v>12</v>
      </c>
      <c r="K127" s="17" t="str">
        <f>IF(LEFT(StatusBranchGrade[[#This Row],[Which]], 1) = "1", StatusBranchGrade[[#This Row],[Key]], "")</f>
        <v>Wounded Warrior--GC-approved  /  Marines  /  WO1/W-1</v>
      </c>
      <c r="L127" s="17" t="str">
        <f>IF(LEFT(StatusBranchGrade[[#This Row],[Which]], 1) = "1", StatusBranchGrade[[#This Row],[Key0]], "")</f>
        <v>Wounded Warrior--GC-approved  /  Marines</v>
      </c>
      <c r="M127" s="17" t="str">
        <f>IF(RIGHT(StatusBranchGrade[[#This Row],[Which]], 1) = "2", StatusBranchGrade[[#This Row],[Key]], "")</f>
        <v>Wounded Warrior--GC-approved  /  Marines  /  WO1/W-1</v>
      </c>
      <c r="N127" s="17" t="str">
        <f>IF(RIGHT(StatusBranchGrade[[#This Row],[Which]], 1) = "2", StatusBranchGrade[[#This Row],[Key0]], "")</f>
        <v>Wounded Warrior--GC-approved  /  Marines</v>
      </c>
      <c r="O127" s="17" t="s">
        <v>299</v>
      </c>
      <c r="P127" s="17"/>
      <c r="Q127" s="63">
        <f>--ISNUMBER(IF(StatusBranchGrade[[#This Row],[Sponsor0]] = 'Calculation Worksheet'!$AV$6 &amp; "  /  " &amp; 'Calculation Worksheet'!$AV$7, 1, ""))</f>
        <v>0</v>
      </c>
      <c r="R127" s="63" t="str">
        <f>IF(StatusBranchGrade[[#This Row],[S1]] = 1, COUNTIF($Q$3:Q127, 1), "")</f>
        <v/>
      </c>
      <c r="S127" s="63" t="str">
        <f>IFERROR(INDEX(StatusBranchGrade[Rank/Grade], MATCH(ROWS($R$3:R127)-1, StatusBranchGrade[S2], 0)), "") &amp; ""</f>
        <v/>
      </c>
      <c r="T127" s="63">
        <f>--ISNUMBER(IF(StatusBranchGrade[[#This Row],[Spouse0]] = 'Calculation Worksheet'!$CG$6 &amp; "  /  " &amp; 'Calculation Worksheet'!$CG$7, 1, ""))</f>
        <v>0</v>
      </c>
      <c r="U127" s="63" t="str">
        <f>IF(StatusBranchGrade[[#This Row],[T1]] = 1, COUNTIF($T$3:T127, 1), "")</f>
        <v/>
      </c>
      <c r="V127" s="63" t="str">
        <f>IFERROR(INDEX(StatusBranchGrade[Rank/Grade], MATCH(ROWS($U$3:U127)-1, StatusBranchGrade[T2], 0)), "") &amp; ""</f>
        <v/>
      </c>
      <c r="W127" s="63"/>
    </row>
    <row r="128" spans="1:23" x14ac:dyDescent="0.25">
      <c r="A128">
        <v>4</v>
      </c>
      <c r="B128" t="s">
        <v>339</v>
      </c>
      <c r="C128" t="s">
        <v>182</v>
      </c>
      <c r="D128" t="s">
        <v>105</v>
      </c>
      <c r="E128" t="str">
        <f>IF(StatusBranchGrade[[#This Row],[Status]] = "CYS", "DoD", StatusBranchGrade[[#This Row],[Rank]] &amp; "")</f>
        <v>E-1</v>
      </c>
      <c r="F128" t="s">
        <v>105</v>
      </c>
      <c r="G128" t="str">
        <f>IF(StatusBranchGrade[[#This Row],[Rank]] = StatusBranchGrade[[#This Row],[Grade]], StatusBranchGrade[[#This Row],[Rank]], StatusBranchGrade[[#This Row],[Grade]] &amp; "/" &amp; StatusBranchGrade[[#This Row],[Rank]]) &amp; ""</f>
        <v>E-1</v>
      </c>
      <c r="H1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E-1</v>
      </c>
      <c r="I128" s="17" t="str">
        <f>SUBSTITUTE(SUBSTITUTE(SUBSTITUTE(StatusBranchGrade[[#This Row],[Status]] &amp; "  /  " &amp; StatusBranchGrade[[#This Row],[Branch]] &amp; ";", "  /  ;", ";"), "  /  ;", ";"), ";", "")</f>
        <v>Wounded Warrior--GC-approved  /  Navy</v>
      </c>
      <c r="J128">
        <v>12</v>
      </c>
      <c r="K128" s="17" t="str">
        <f>IF(LEFT(StatusBranchGrade[[#This Row],[Which]], 1) = "1", StatusBranchGrade[[#This Row],[Key]], "")</f>
        <v>Wounded Warrior--GC-approved  /  Navy  /  E-1</v>
      </c>
      <c r="L128" s="17" t="str">
        <f>IF(LEFT(StatusBranchGrade[[#This Row],[Which]], 1) = "1", StatusBranchGrade[[#This Row],[Key0]], "")</f>
        <v>Wounded Warrior--GC-approved  /  Navy</v>
      </c>
      <c r="M128" s="17" t="str">
        <f>IF(RIGHT(StatusBranchGrade[[#This Row],[Which]], 1) = "2", StatusBranchGrade[[#This Row],[Key]], "")</f>
        <v>Wounded Warrior--GC-approved  /  Navy  /  E-1</v>
      </c>
      <c r="N128" s="17" t="str">
        <f>IF(RIGHT(StatusBranchGrade[[#This Row],[Which]], 1) = "2", StatusBranchGrade[[#This Row],[Key0]], "")</f>
        <v>Wounded Warrior--GC-approved  /  Navy</v>
      </c>
      <c r="O128" s="17" t="s">
        <v>299</v>
      </c>
      <c r="P128" s="17"/>
      <c r="Q128" s="63">
        <f>--ISNUMBER(IF(StatusBranchGrade[[#This Row],[Sponsor0]] = 'Calculation Worksheet'!$AV$6 &amp; "  /  " &amp; 'Calculation Worksheet'!$AV$7, 1, ""))</f>
        <v>0</v>
      </c>
      <c r="R128" s="63" t="str">
        <f>IF(StatusBranchGrade[[#This Row],[S1]] = 1, COUNTIF($Q$3:Q128, 1), "")</f>
        <v/>
      </c>
      <c r="S128" s="63" t="str">
        <f>IFERROR(INDEX(StatusBranchGrade[Rank/Grade], MATCH(ROWS($R$3:R128)-1, StatusBranchGrade[S2], 0)), "") &amp; ""</f>
        <v/>
      </c>
      <c r="T128" s="63">
        <f>--ISNUMBER(IF(StatusBranchGrade[[#This Row],[Spouse0]] = 'Calculation Worksheet'!$CG$6 &amp; "  /  " &amp; 'Calculation Worksheet'!$CG$7, 1, ""))</f>
        <v>0</v>
      </c>
      <c r="U128" s="63" t="str">
        <f>IF(StatusBranchGrade[[#This Row],[T1]] = 1, COUNTIF($T$3:T128, 1), "")</f>
        <v/>
      </c>
      <c r="V128" s="63" t="str">
        <f>IFERROR(INDEX(StatusBranchGrade[Rank/Grade], MATCH(ROWS($U$3:U128)-1, StatusBranchGrade[T2], 0)), "") &amp; ""</f>
        <v/>
      </c>
      <c r="W128" s="63"/>
    </row>
    <row r="129" spans="1:23" x14ac:dyDescent="0.25">
      <c r="A129">
        <v>4</v>
      </c>
      <c r="B129" t="s">
        <v>339</v>
      </c>
      <c r="C129" t="s">
        <v>182</v>
      </c>
      <c r="D129" t="s">
        <v>104</v>
      </c>
      <c r="E129" t="str">
        <f>IF(StatusBranchGrade[[#This Row],[Status]] = "CYS", "DoD", StatusBranchGrade[[#This Row],[Rank]] &amp; "")</f>
        <v>E-2</v>
      </c>
      <c r="F129" t="s">
        <v>104</v>
      </c>
      <c r="G129" t="str">
        <f>IF(StatusBranchGrade[[#This Row],[Rank]] = StatusBranchGrade[[#This Row],[Grade]], StatusBranchGrade[[#This Row],[Rank]], StatusBranchGrade[[#This Row],[Grade]] &amp; "/" &amp; StatusBranchGrade[[#This Row],[Rank]]) &amp; ""</f>
        <v>E-2</v>
      </c>
      <c r="H1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E-2</v>
      </c>
      <c r="I129" s="17" t="str">
        <f>SUBSTITUTE(SUBSTITUTE(SUBSTITUTE(StatusBranchGrade[[#This Row],[Status]] &amp; "  /  " &amp; StatusBranchGrade[[#This Row],[Branch]] &amp; ";", "  /  ;", ";"), "  /  ;", ";"), ";", "")</f>
        <v>Wounded Warrior--GC-approved  /  Navy</v>
      </c>
      <c r="J129">
        <v>12</v>
      </c>
      <c r="K129" s="17" t="str">
        <f>IF(LEFT(StatusBranchGrade[[#This Row],[Which]], 1) = "1", StatusBranchGrade[[#This Row],[Key]], "")</f>
        <v>Wounded Warrior--GC-approved  /  Navy  /  E-2</v>
      </c>
      <c r="L129" s="17" t="str">
        <f>IF(LEFT(StatusBranchGrade[[#This Row],[Which]], 1) = "1", StatusBranchGrade[[#This Row],[Key0]], "")</f>
        <v>Wounded Warrior--GC-approved  /  Navy</v>
      </c>
      <c r="M129" s="17" t="str">
        <f>IF(RIGHT(StatusBranchGrade[[#This Row],[Which]], 1) = "2", StatusBranchGrade[[#This Row],[Key]], "")</f>
        <v>Wounded Warrior--GC-approved  /  Navy  /  E-2</v>
      </c>
      <c r="N129" s="17" t="str">
        <f>IF(RIGHT(StatusBranchGrade[[#This Row],[Which]], 1) = "2", StatusBranchGrade[[#This Row],[Key0]], "")</f>
        <v>Wounded Warrior--GC-approved  /  Navy</v>
      </c>
      <c r="O129" s="17" t="s">
        <v>299</v>
      </c>
      <c r="P129" s="17"/>
      <c r="Q129" s="63">
        <f>--ISNUMBER(IF(StatusBranchGrade[[#This Row],[Sponsor0]] = 'Calculation Worksheet'!$AV$6 &amp; "  /  " &amp; 'Calculation Worksheet'!$AV$7, 1, ""))</f>
        <v>0</v>
      </c>
      <c r="R129" s="63" t="str">
        <f>IF(StatusBranchGrade[[#This Row],[S1]] = 1, COUNTIF($Q$3:Q129, 1), "")</f>
        <v/>
      </c>
      <c r="S129" s="63" t="str">
        <f>IFERROR(INDEX(StatusBranchGrade[Rank/Grade], MATCH(ROWS($R$3:R129)-1, StatusBranchGrade[S2], 0)), "") &amp; ""</f>
        <v/>
      </c>
      <c r="T129" s="63">
        <f>--ISNUMBER(IF(StatusBranchGrade[[#This Row],[Spouse0]] = 'Calculation Worksheet'!$CG$6 &amp; "  /  " &amp; 'Calculation Worksheet'!$CG$7, 1, ""))</f>
        <v>0</v>
      </c>
      <c r="U129" s="63" t="str">
        <f>IF(StatusBranchGrade[[#This Row],[T1]] = 1, COUNTIF($T$3:T129, 1), "")</f>
        <v/>
      </c>
      <c r="V129" s="63" t="str">
        <f>IFERROR(INDEX(StatusBranchGrade[Rank/Grade], MATCH(ROWS($U$3:U129)-1, StatusBranchGrade[T2], 0)), "") &amp; ""</f>
        <v/>
      </c>
      <c r="W129" s="63"/>
    </row>
    <row r="130" spans="1:23" x14ac:dyDescent="0.25">
      <c r="A130">
        <v>4</v>
      </c>
      <c r="B130" t="s">
        <v>339</v>
      </c>
      <c r="C130" t="s">
        <v>182</v>
      </c>
      <c r="D130" t="s">
        <v>103</v>
      </c>
      <c r="E130" t="str">
        <f>IF(StatusBranchGrade[[#This Row],[Status]] = "CYS", "DoD", StatusBranchGrade[[#This Row],[Rank]] &amp; "")</f>
        <v>E-3</v>
      </c>
      <c r="F130" t="s">
        <v>103</v>
      </c>
      <c r="G130" t="str">
        <f>IF(StatusBranchGrade[[#This Row],[Rank]] = StatusBranchGrade[[#This Row],[Grade]], StatusBranchGrade[[#This Row],[Rank]], StatusBranchGrade[[#This Row],[Grade]] &amp; "/" &amp; StatusBranchGrade[[#This Row],[Rank]]) &amp; ""</f>
        <v>E-3</v>
      </c>
      <c r="H1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E-3</v>
      </c>
      <c r="I130" s="17" t="str">
        <f>SUBSTITUTE(SUBSTITUTE(SUBSTITUTE(StatusBranchGrade[[#This Row],[Status]] &amp; "  /  " &amp; StatusBranchGrade[[#This Row],[Branch]] &amp; ";", "  /  ;", ";"), "  /  ;", ";"), ";", "")</f>
        <v>Wounded Warrior--GC-approved  /  Navy</v>
      </c>
      <c r="J130">
        <v>12</v>
      </c>
      <c r="K130" s="17" t="str">
        <f>IF(LEFT(StatusBranchGrade[[#This Row],[Which]], 1) = "1", StatusBranchGrade[[#This Row],[Key]], "")</f>
        <v>Wounded Warrior--GC-approved  /  Navy  /  E-3</v>
      </c>
      <c r="L130" s="17" t="str">
        <f>IF(LEFT(StatusBranchGrade[[#This Row],[Which]], 1) = "1", StatusBranchGrade[[#This Row],[Key0]], "")</f>
        <v>Wounded Warrior--GC-approved  /  Navy</v>
      </c>
      <c r="M130" s="17" t="str">
        <f>IF(RIGHT(StatusBranchGrade[[#This Row],[Which]], 1) = "2", StatusBranchGrade[[#This Row],[Key]], "")</f>
        <v>Wounded Warrior--GC-approved  /  Navy  /  E-3</v>
      </c>
      <c r="N130" s="17" t="str">
        <f>IF(RIGHT(StatusBranchGrade[[#This Row],[Which]], 1) = "2", StatusBranchGrade[[#This Row],[Key0]], "")</f>
        <v>Wounded Warrior--GC-approved  /  Navy</v>
      </c>
      <c r="O130" s="17" t="s">
        <v>299</v>
      </c>
      <c r="P130" s="17"/>
      <c r="Q130" s="63">
        <f>--ISNUMBER(IF(StatusBranchGrade[[#This Row],[Sponsor0]] = 'Calculation Worksheet'!$AV$6 &amp; "  /  " &amp; 'Calculation Worksheet'!$AV$7, 1, ""))</f>
        <v>0</v>
      </c>
      <c r="R130" s="63" t="str">
        <f>IF(StatusBranchGrade[[#This Row],[S1]] = 1, COUNTIF($Q$3:Q130, 1), "")</f>
        <v/>
      </c>
      <c r="S130" s="63" t="str">
        <f>IFERROR(INDEX(StatusBranchGrade[Rank/Grade], MATCH(ROWS($R$3:R130)-1, StatusBranchGrade[S2], 0)), "") &amp; ""</f>
        <v/>
      </c>
      <c r="T130" s="63">
        <f>--ISNUMBER(IF(StatusBranchGrade[[#This Row],[Spouse0]] = 'Calculation Worksheet'!$CG$6 &amp; "  /  " &amp; 'Calculation Worksheet'!$CG$7, 1, ""))</f>
        <v>0</v>
      </c>
      <c r="U130" s="63" t="str">
        <f>IF(StatusBranchGrade[[#This Row],[T1]] = 1, COUNTIF($T$3:T130, 1), "")</f>
        <v/>
      </c>
      <c r="V130" s="63" t="str">
        <f>IFERROR(INDEX(StatusBranchGrade[Rank/Grade], MATCH(ROWS($U$3:U130)-1, StatusBranchGrade[T2], 0)), "") &amp; ""</f>
        <v/>
      </c>
      <c r="W130" s="63"/>
    </row>
    <row r="131" spans="1:23" x14ac:dyDescent="0.25">
      <c r="A131">
        <v>4</v>
      </c>
      <c r="B131" t="s">
        <v>339</v>
      </c>
      <c r="C131" t="s">
        <v>182</v>
      </c>
      <c r="D131" t="s">
        <v>102</v>
      </c>
      <c r="E131" t="str">
        <f>IF(StatusBranchGrade[[#This Row],[Status]] = "CYS", "DoD", StatusBranchGrade[[#This Row],[Rank]] &amp; "")</f>
        <v>E-4</v>
      </c>
      <c r="F131" t="s">
        <v>102</v>
      </c>
      <c r="G131" t="str">
        <f>IF(StatusBranchGrade[[#This Row],[Rank]] = StatusBranchGrade[[#This Row],[Grade]], StatusBranchGrade[[#This Row],[Rank]], StatusBranchGrade[[#This Row],[Grade]] &amp; "/" &amp; StatusBranchGrade[[#This Row],[Rank]]) &amp; ""</f>
        <v>E-4</v>
      </c>
      <c r="H1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E-4</v>
      </c>
      <c r="I131" s="17" t="str">
        <f>SUBSTITUTE(SUBSTITUTE(SUBSTITUTE(StatusBranchGrade[[#This Row],[Status]] &amp; "  /  " &amp; StatusBranchGrade[[#This Row],[Branch]] &amp; ";", "  /  ;", ";"), "  /  ;", ";"), ";", "")</f>
        <v>Wounded Warrior--GC-approved  /  Navy</v>
      </c>
      <c r="J131">
        <v>12</v>
      </c>
      <c r="K131" s="17" t="str">
        <f>IF(LEFT(StatusBranchGrade[[#This Row],[Which]], 1) = "1", StatusBranchGrade[[#This Row],[Key]], "")</f>
        <v>Wounded Warrior--GC-approved  /  Navy  /  E-4</v>
      </c>
      <c r="L131" s="17" t="str">
        <f>IF(LEFT(StatusBranchGrade[[#This Row],[Which]], 1) = "1", StatusBranchGrade[[#This Row],[Key0]], "")</f>
        <v>Wounded Warrior--GC-approved  /  Navy</v>
      </c>
      <c r="M131" s="17" t="str">
        <f>IF(RIGHT(StatusBranchGrade[[#This Row],[Which]], 1) = "2", StatusBranchGrade[[#This Row],[Key]], "")</f>
        <v>Wounded Warrior--GC-approved  /  Navy  /  E-4</v>
      </c>
      <c r="N131" s="17" t="str">
        <f>IF(RIGHT(StatusBranchGrade[[#This Row],[Which]], 1) = "2", StatusBranchGrade[[#This Row],[Key0]], "")</f>
        <v>Wounded Warrior--GC-approved  /  Navy</v>
      </c>
      <c r="O131" s="17" t="s">
        <v>299</v>
      </c>
      <c r="P131" s="17"/>
      <c r="Q131" s="63">
        <f>--ISNUMBER(IF(StatusBranchGrade[[#This Row],[Sponsor0]] = 'Calculation Worksheet'!$AV$6 &amp; "  /  " &amp; 'Calculation Worksheet'!$AV$7, 1, ""))</f>
        <v>0</v>
      </c>
      <c r="R131" s="63" t="str">
        <f>IF(StatusBranchGrade[[#This Row],[S1]] = 1, COUNTIF($Q$3:Q131, 1), "")</f>
        <v/>
      </c>
      <c r="S131" s="63" t="str">
        <f>IFERROR(INDEX(StatusBranchGrade[Rank/Grade], MATCH(ROWS($R$3:R131)-1, StatusBranchGrade[S2], 0)), "") &amp; ""</f>
        <v/>
      </c>
      <c r="T131" s="63">
        <f>--ISNUMBER(IF(StatusBranchGrade[[#This Row],[Spouse0]] = 'Calculation Worksheet'!$CG$6 &amp; "  /  " &amp; 'Calculation Worksheet'!$CG$7, 1, ""))</f>
        <v>0</v>
      </c>
      <c r="U131" s="63" t="str">
        <f>IF(StatusBranchGrade[[#This Row],[T1]] = 1, COUNTIF($T$3:T131, 1), "")</f>
        <v/>
      </c>
      <c r="V131" s="63" t="str">
        <f>IFERROR(INDEX(StatusBranchGrade[Rank/Grade], MATCH(ROWS($U$3:U131)-1, StatusBranchGrade[T2], 0)), "") &amp; ""</f>
        <v/>
      </c>
      <c r="W131" s="63"/>
    </row>
    <row r="132" spans="1:23" x14ac:dyDescent="0.25">
      <c r="A132">
        <v>4</v>
      </c>
      <c r="B132" t="s">
        <v>339</v>
      </c>
      <c r="C132" t="s">
        <v>182</v>
      </c>
      <c r="D132" t="s">
        <v>101</v>
      </c>
      <c r="E132" t="str">
        <f>IF(StatusBranchGrade[[#This Row],[Status]] = "CYS", "DoD", StatusBranchGrade[[#This Row],[Rank]] &amp; "")</f>
        <v>E-5</v>
      </c>
      <c r="F132" t="s">
        <v>101</v>
      </c>
      <c r="G132" t="str">
        <f>IF(StatusBranchGrade[[#This Row],[Rank]] = StatusBranchGrade[[#This Row],[Grade]], StatusBranchGrade[[#This Row],[Rank]], StatusBranchGrade[[#This Row],[Grade]] &amp; "/" &amp; StatusBranchGrade[[#This Row],[Rank]]) &amp; ""</f>
        <v>E-5</v>
      </c>
      <c r="H1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E-5</v>
      </c>
      <c r="I132" s="17" t="str">
        <f>SUBSTITUTE(SUBSTITUTE(SUBSTITUTE(StatusBranchGrade[[#This Row],[Status]] &amp; "  /  " &amp; StatusBranchGrade[[#This Row],[Branch]] &amp; ";", "  /  ;", ";"), "  /  ;", ";"), ";", "")</f>
        <v>Wounded Warrior--GC-approved  /  Navy</v>
      </c>
      <c r="J132">
        <v>12</v>
      </c>
      <c r="K132" s="17" t="str">
        <f>IF(LEFT(StatusBranchGrade[[#This Row],[Which]], 1) = "1", StatusBranchGrade[[#This Row],[Key]], "")</f>
        <v>Wounded Warrior--GC-approved  /  Navy  /  E-5</v>
      </c>
      <c r="L132" s="17" t="str">
        <f>IF(LEFT(StatusBranchGrade[[#This Row],[Which]], 1) = "1", StatusBranchGrade[[#This Row],[Key0]], "")</f>
        <v>Wounded Warrior--GC-approved  /  Navy</v>
      </c>
      <c r="M132" s="17" t="str">
        <f>IF(RIGHT(StatusBranchGrade[[#This Row],[Which]], 1) = "2", StatusBranchGrade[[#This Row],[Key]], "")</f>
        <v>Wounded Warrior--GC-approved  /  Navy  /  E-5</v>
      </c>
      <c r="N132" s="17" t="str">
        <f>IF(RIGHT(StatusBranchGrade[[#This Row],[Which]], 1) = "2", StatusBranchGrade[[#This Row],[Key0]], "")</f>
        <v>Wounded Warrior--GC-approved  /  Navy</v>
      </c>
      <c r="O132" s="17" t="s">
        <v>299</v>
      </c>
      <c r="P132" s="17"/>
      <c r="Q132" s="63">
        <f>--ISNUMBER(IF(StatusBranchGrade[[#This Row],[Sponsor0]] = 'Calculation Worksheet'!$AV$6 &amp; "  /  " &amp; 'Calculation Worksheet'!$AV$7, 1, ""))</f>
        <v>0</v>
      </c>
      <c r="R132" s="63" t="str">
        <f>IF(StatusBranchGrade[[#This Row],[S1]] = 1, COUNTIF($Q$3:Q132, 1), "")</f>
        <v/>
      </c>
      <c r="S132" s="63" t="str">
        <f>IFERROR(INDEX(StatusBranchGrade[Rank/Grade], MATCH(ROWS($R$3:R132)-1, StatusBranchGrade[S2], 0)), "") &amp; ""</f>
        <v/>
      </c>
      <c r="T132" s="63">
        <f>--ISNUMBER(IF(StatusBranchGrade[[#This Row],[Spouse0]] = 'Calculation Worksheet'!$CG$6 &amp; "  /  " &amp; 'Calculation Worksheet'!$CG$7, 1, ""))</f>
        <v>0</v>
      </c>
      <c r="U132" s="63" t="str">
        <f>IF(StatusBranchGrade[[#This Row],[T1]] = 1, COUNTIF($T$3:T132, 1), "")</f>
        <v/>
      </c>
      <c r="V132" s="63" t="str">
        <f>IFERROR(INDEX(StatusBranchGrade[Rank/Grade], MATCH(ROWS($U$3:U132)-1, StatusBranchGrade[T2], 0)), "") &amp; ""</f>
        <v/>
      </c>
      <c r="W132" s="63"/>
    </row>
    <row r="133" spans="1:23" x14ac:dyDescent="0.25">
      <c r="A133">
        <v>4</v>
      </c>
      <c r="B133" t="s">
        <v>339</v>
      </c>
      <c r="C133" t="s">
        <v>182</v>
      </c>
      <c r="D133" t="s">
        <v>100</v>
      </c>
      <c r="E133" t="str">
        <f>IF(StatusBranchGrade[[#This Row],[Status]] = "CYS", "DoD", StatusBranchGrade[[#This Row],[Rank]] &amp; "")</f>
        <v>E-6</v>
      </c>
      <c r="F133" t="s">
        <v>100</v>
      </c>
      <c r="G133" t="str">
        <f>IF(StatusBranchGrade[[#This Row],[Rank]] = StatusBranchGrade[[#This Row],[Grade]], StatusBranchGrade[[#This Row],[Rank]], StatusBranchGrade[[#This Row],[Grade]] &amp; "/" &amp; StatusBranchGrade[[#This Row],[Rank]]) &amp; ""</f>
        <v>E-6</v>
      </c>
      <c r="H1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E-6</v>
      </c>
      <c r="I133" s="17" t="str">
        <f>SUBSTITUTE(SUBSTITUTE(SUBSTITUTE(StatusBranchGrade[[#This Row],[Status]] &amp; "  /  " &amp; StatusBranchGrade[[#This Row],[Branch]] &amp; ";", "  /  ;", ";"), "  /  ;", ";"), ";", "")</f>
        <v>Wounded Warrior--GC-approved  /  Navy</v>
      </c>
      <c r="J133">
        <v>12</v>
      </c>
      <c r="K133" s="17" t="str">
        <f>IF(LEFT(StatusBranchGrade[[#This Row],[Which]], 1) = "1", StatusBranchGrade[[#This Row],[Key]], "")</f>
        <v>Wounded Warrior--GC-approved  /  Navy  /  E-6</v>
      </c>
      <c r="L133" s="17" t="str">
        <f>IF(LEFT(StatusBranchGrade[[#This Row],[Which]], 1) = "1", StatusBranchGrade[[#This Row],[Key0]], "")</f>
        <v>Wounded Warrior--GC-approved  /  Navy</v>
      </c>
      <c r="M133" s="17" t="str">
        <f>IF(RIGHT(StatusBranchGrade[[#This Row],[Which]], 1) = "2", StatusBranchGrade[[#This Row],[Key]], "")</f>
        <v>Wounded Warrior--GC-approved  /  Navy  /  E-6</v>
      </c>
      <c r="N133" s="17" t="str">
        <f>IF(RIGHT(StatusBranchGrade[[#This Row],[Which]], 1) = "2", StatusBranchGrade[[#This Row],[Key0]], "")</f>
        <v>Wounded Warrior--GC-approved  /  Navy</v>
      </c>
      <c r="O133" s="17" t="s">
        <v>299</v>
      </c>
      <c r="P133" s="17"/>
      <c r="Q133" s="63">
        <f>--ISNUMBER(IF(StatusBranchGrade[[#This Row],[Sponsor0]] = 'Calculation Worksheet'!$AV$6 &amp; "  /  " &amp; 'Calculation Worksheet'!$AV$7, 1, ""))</f>
        <v>0</v>
      </c>
      <c r="R133" s="63" t="str">
        <f>IF(StatusBranchGrade[[#This Row],[S1]] = 1, COUNTIF($Q$3:Q133, 1), "")</f>
        <v/>
      </c>
      <c r="S133" s="63" t="str">
        <f>IFERROR(INDEX(StatusBranchGrade[Rank/Grade], MATCH(ROWS($R$3:R133)-1, StatusBranchGrade[S2], 0)), "") &amp; ""</f>
        <v/>
      </c>
      <c r="T133" s="63">
        <f>--ISNUMBER(IF(StatusBranchGrade[[#This Row],[Spouse0]] = 'Calculation Worksheet'!$CG$6 &amp; "  /  " &amp; 'Calculation Worksheet'!$CG$7, 1, ""))</f>
        <v>0</v>
      </c>
      <c r="U133" s="63" t="str">
        <f>IF(StatusBranchGrade[[#This Row],[T1]] = 1, COUNTIF($T$3:T133, 1), "")</f>
        <v/>
      </c>
      <c r="V133" s="63" t="str">
        <f>IFERROR(INDEX(StatusBranchGrade[Rank/Grade], MATCH(ROWS($U$3:U133)-1, StatusBranchGrade[T2], 0)), "") &amp; ""</f>
        <v/>
      </c>
      <c r="W133" s="63"/>
    </row>
    <row r="134" spans="1:23" x14ac:dyDescent="0.25">
      <c r="A134">
        <v>4</v>
      </c>
      <c r="B134" t="s">
        <v>339</v>
      </c>
      <c r="C134" t="s">
        <v>182</v>
      </c>
      <c r="D134" t="s">
        <v>99</v>
      </c>
      <c r="E134" t="str">
        <f>IF(StatusBranchGrade[[#This Row],[Status]] = "CYS", "DoD", StatusBranchGrade[[#This Row],[Rank]] &amp; "")</f>
        <v>E-7</v>
      </c>
      <c r="F134" t="s">
        <v>99</v>
      </c>
      <c r="G134" t="str">
        <f>IF(StatusBranchGrade[[#This Row],[Rank]] = StatusBranchGrade[[#This Row],[Grade]], StatusBranchGrade[[#This Row],[Rank]], StatusBranchGrade[[#This Row],[Grade]] &amp; "/" &amp; StatusBranchGrade[[#This Row],[Rank]]) &amp; ""</f>
        <v>E-7</v>
      </c>
      <c r="H1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E-7</v>
      </c>
      <c r="I134" s="17" t="str">
        <f>SUBSTITUTE(SUBSTITUTE(SUBSTITUTE(StatusBranchGrade[[#This Row],[Status]] &amp; "  /  " &amp; StatusBranchGrade[[#This Row],[Branch]] &amp; ";", "  /  ;", ";"), "  /  ;", ";"), ";", "")</f>
        <v>Wounded Warrior--GC-approved  /  Navy</v>
      </c>
      <c r="J134">
        <v>12</v>
      </c>
      <c r="K134" s="17" t="str">
        <f>IF(LEFT(StatusBranchGrade[[#This Row],[Which]], 1) = "1", StatusBranchGrade[[#This Row],[Key]], "")</f>
        <v>Wounded Warrior--GC-approved  /  Navy  /  E-7</v>
      </c>
      <c r="L134" s="17" t="str">
        <f>IF(LEFT(StatusBranchGrade[[#This Row],[Which]], 1) = "1", StatusBranchGrade[[#This Row],[Key0]], "")</f>
        <v>Wounded Warrior--GC-approved  /  Navy</v>
      </c>
      <c r="M134" s="17" t="str">
        <f>IF(RIGHT(StatusBranchGrade[[#This Row],[Which]], 1) = "2", StatusBranchGrade[[#This Row],[Key]], "")</f>
        <v>Wounded Warrior--GC-approved  /  Navy  /  E-7</v>
      </c>
      <c r="N134" s="17" t="str">
        <f>IF(RIGHT(StatusBranchGrade[[#This Row],[Which]], 1) = "2", StatusBranchGrade[[#This Row],[Key0]], "")</f>
        <v>Wounded Warrior--GC-approved  /  Navy</v>
      </c>
      <c r="O134" s="17" t="s">
        <v>299</v>
      </c>
      <c r="P134" s="17"/>
      <c r="Q134" s="63">
        <f>--ISNUMBER(IF(StatusBranchGrade[[#This Row],[Sponsor0]] = 'Calculation Worksheet'!$AV$6 &amp; "  /  " &amp; 'Calculation Worksheet'!$AV$7, 1, ""))</f>
        <v>0</v>
      </c>
      <c r="R134" s="63" t="str">
        <f>IF(StatusBranchGrade[[#This Row],[S1]] = 1, COUNTIF($Q$3:Q134, 1), "")</f>
        <v/>
      </c>
      <c r="S134" s="63" t="str">
        <f>IFERROR(INDEX(StatusBranchGrade[Rank/Grade], MATCH(ROWS($R$3:R134)-1, StatusBranchGrade[S2], 0)), "") &amp; ""</f>
        <v/>
      </c>
      <c r="T134" s="63">
        <f>--ISNUMBER(IF(StatusBranchGrade[[#This Row],[Spouse0]] = 'Calculation Worksheet'!$CG$6 &amp; "  /  " &amp; 'Calculation Worksheet'!$CG$7, 1, ""))</f>
        <v>0</v>
      </c>
      <c r="U134" s="63" t="str">
        <f>IF(StatusBranchGrade[[#This Row],[T1]] = 1, COUNTIF($T$3:T134, 1), "")</f>
        <v/>
      </c>
      <c r="V134" s="63" t="str">
        <f>IFERROR(INDEX(StatusBranchGrade[Rank/Grade], MATCH(ROWS($U$3:U134)-1, StatusBranchGrade[T2], 0)), "") &amp; ""</f>
        <v/>
      </c>
      <c r="W134" s="63"/>
    </row>
    <row r="135" spans="1:23" x14ac:dyDescent="0.25">
      <c r="A135">
        <v>4</v>
      </c>
      <c r="B135" t="s">
        <v>339</v>
      </c>
      <c r="C135" t="s">
        <v>182</v>
      </c>
      <c r="D135" t="s">
        <v>98</v>
      </c>
      <c r="E135" t="str">
        <f>IF(StatusBranchGrade[[#This Row],[Status]] = "CYS", "DoD", StatusBranchGrade[[#This Row],[Rank]] &amp; "")</f>
        <v>E-8</v>
      </c>
      <c r="F135" t="s">
        <v>98</v>
      </c>
      <c r="G135" t="str">
        <f>IF(StatusBranchGrade[[#This Row],[Rank]] = StatusBranchGrade[[#This Row],[Grade]], StatusBranchGrade[[#This Row],[Rank]], StatusBranchGrade[[#This Row],[Grade]] &amp; "/" &amp; StatusBranchGrade[[#This Row],[Rank]]) &amp; ""</f>
        <v>E-8</v>
      </c>
      <c r="H1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E-8</v>
      </c>
      <c r="I135" s="17" t="str">
        <f>SUBSTITUTE(SUBSTITUTE(SUBSTITUTE(StatusBranchGrade[[#This Row],[Status]] &amp; "  /  " &amp; StatusBranchGrade[[#This Row],[Branch]] &amp; ";", "  /  ;", ";"), "  /  ;", ";"), ";", "")</f>
        <v>Wounded Warrior--GC-approved  /  Navy</v>
      </c>
      <c r="J135">
        <v>12</v>
      </c>
      <c r="K135" s="17" t="str">
        <f>IF(LEFT(StatusBranchGrade[[#This Row],[Which]], 1) = "1", StatusBranchGrade[[#This Row],[Key]], "")</f>
        <v>Wounded Warrior--GC-approved  /  Navy  /  E-8</v>
      </c>
      <c r="L135" s="17" t="str">
        <f>IF(LEFT(StatusBranchGrade[[#This Row],[Which]], 1) = "1", StatusBranchGrade[[#This Row],[Key0]], "")</f>
        <v>Wounded Warrior--GC-approved  /  Navy</v>
      </c>
      <c r="M135" s="17" t="str">
        <f>IF(RIGHT(StatusBranchGrade[[#This Row],[Which]], 1) = "2", StatusBranchGrade[[#This Row],[Key]], "")</f>
        <v>Wounded Warrior--GC-approved  /  Navy  /  E-8</v>
      </c>
      <c r="N135" s="17" t="str">
        <f>IF(RIGHT(StatusBranchGrade[[#This Row],[Which]], 1) = "2", StatusBranchGrade[[#This Row],[Key0]], "")</f>
        <v>Wounded Warrior--GC-approved  /  Navy</v>
      </c>
      <c r="O135" s="17" t="s">
        <v>299</v>
      </c>
      <c r="P135" s="17"/>
      <c r="Q135" s="63">
        <f>--ISNUMBER(IF(StatusBranchGrade[[#This Row],[Sponsor0]] = 'Calculation Worksheet'!$AV$6 &amp; "  /  " &amp; 'Calculation Worksheet'!$AV$7, 1, ""))</f>
        <v>0</v>
      </c>
      <c r="R135" s="63" t="str">
        <f>IF(StatusBranchGrade[[#This Row],[S1]] = 1, COUNTIF($Q$3:Q135, 1), "")</f>
        <v/>
      </c>
      <c r="S135" s="63" t="str">
        <f>IFERROR(INDEX(StatusBranchGrade[Rank/Grade], MATCH(ROWS($R$3:R135)-1, StatusBranchGrade[S2], 0)), "") &amp; ""</f>
        <v/>
      </c>
      <c r="T135" s="63">
        <f>--ISNUMBER(IF(StatusBranchGrade[[#This Row],[Spouse0]] = 'Calculation Worksheet'!$CG$6 &amp; "  /  " &amp; 'Calculation Worksheet'!$CG$7, 1, ""))</f>
        <v>0</v>
      </c>
      <c r="U135" s="63" t="str">
        <f>IF(StatusBranchGrade[[#This Row],[T1]] = 1, COUNTIF($T$3:T135, 1), "")</f>
        <v/>
      </c>
      <c r="V135" s="63" t="str">
        <f>IFERROR(INDEX(StatusBranchGrade[Rank/Grade], MATCH(ROWS($U$3:U135)-1, StatusBranchGrade[T2], 0)), "") &amp; ""</f>
        <v/>
      </c>
      <c r="W135" s="63"/>
    </row>
    <row r="136" spans="1:23" x14ac:dyDescent="0.25">
      <c r="A136">
        <v>4</v>
      </c>
      <c r="B136" t="s">
        <v>339</v>
      </c>
      <c r="C136" t="s">
        <v>182</v>
      </c>
      <c r="D136" t="s">
        <v>97</v>
      </c>
      <c r="E136" t="str">
        <f>IF(StatusBranchGrade[[#This Row],[Status]] = "CYS", "DoD", StatusBranchGrade[[#This Row],[Rank]] &amp; "")</f>
        <v>E-9</v>
      </c>
      <c r="F136" t="s">
        <v>97</v>
      </c>
      <c r="G136" t="str">
        <f>IF(StatusBranchGrade[[#This Row],[Rank]] = StatusBranchGrade[[#This Row],[Grade]], StatusBranchGrade[[#This Row],[Rank]], StatusBranchGrade[[#This Row],[Grade]] &amp; "/" &amp; StatusBranchGrade[[#This Row],[Rank]]) &amp; ""</f>
        <v>E-9</v>
      </c>
      <c r="H1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E-9</v>
      </c>
      <c r="I136" s="17" t="str">
        <f>SUBSTITUTE(SUBSTITUTE(SUBSTITUTE(StatusBranchGrade[[#This Row],[Status]] &amp; "  /  " &amp; StatusBranchGrade[[#This Row],[Branch]] &amp; ";", "  /  ;", ";"), "  /  ;", ";"), ";", "")</f>
        <v>Wounded Warrior--GC-approved  /  Navy</v>
      </c>
      <c r="J136">
        <v>12</v>
      </c>
      <c r="K136" s="17" t="str">
        <f>IF(LEFT(StatusBranchGrade[[#This Row],[Which]], 1) = "1", StatusBranchGrade[[#This Row],[Key]], "")</f>
        <v>Wounded Warrior--GC-approved  /  Navy  /  E-9</v>
      </c>
      <c r="L136" s="17" t="str">
        <f>IF(LEFT(StatusBranchGrade[[#This Row],[Which]], 1) = "1", StatusBranchGrade[[#This Row],[Key0]], "")</f>
        <v>Wounded Warrior--GC-approved  /  Navy</v>
      </c>
      <c r="M136" s="17" t="str">
        <f>IF(RIGHT(StatusBranchGrade[[#This Row],[Which]], 1) = "2", StatusBranchGrade[[#This Row],[Key]], "")</f>
        <v>Wounded Warrior--GC-approved  /  Navy  /  E-9</v>
      </c>
      <c r="N136" s="17" t="str">
        <f>IF(RIGHT(StatusBranchGrade[[#This Row],[Which]], 1) = "2", StatusBranchGrade[[#This Row],[Key0]], "")</f>
        <v>Wounded Warrior--GC-approved  /  Navy</v>
      </c>
      <c r="O136" s="17" t="s">
        <v>299</v>
      </c>
      <c r="P136" s="17"/>
      <c r="Q136" s="63">
        <f>--ISNUMBER(IF(StatusBranchGrade[[#This Row],[Sponsor0]] = 'Calculation Worksheet'!$AV$6 &amp; "  /  " &amp; 'Calculation Worksheet'!$AV$7, 1, ""))</f>
        <v>0</v>
      </c>
      <c r="R136" s="63" t="str">
        <f>IF(StatusBranchGrade[[#This Row],[S1]] = 1, COUNTIF($Q$3:Q136, 1), "")</f>
        <v/>
      </c>
      <c r="S136" s="63" t="str">
        <f>IFERROR(INDEX(StatusBranchGrade[Rank/Grade], MATCH(ROWS($R$3:R136)-1, StatusBranchGrade[S2], 0)), "") &amp; ""</f>
        <v/>
      </c>
      <c r="T136" s="63">
        <f>--ISNUMBER(IF(StatusBranchGrade[[#This Row],[Spouse0]] = 'Calculation Worksheet'!$CG$6 &amp; "  /  " &amp; 'Calculation Worksheet'!$CG$7, 1, ""))</f>
        <v>0</v>
      </c>
      <c r="U136" s="63" t="str">
        <f>IF(StatusBranchGrade[[#This Row],[T1]] = 1, COUNTIF($T$3:T136, 1), "")</f>
        <v/>
      </c>
      <c r="V136" s="63" t="str">
        <f>IFERROR(INDEX(StatusBranchGrade[Rank/Grade], MATCH(ROWS($U$3:U136)-1, StatusBranchGrade[T2], 0)), "") &amp; ""</f>
        <v/>
      </c>
      <c r="W136" s="63"/>
    </row>
    <row r="137" spans="1:23" x14ac:dyDescent="0.25">
      <c r="A137">
        <v>4</v>
      </c>
      <c r="B137" t="s">
        <v>339</v>
      </c>
      <c r="C137" t="s">
        <v>182</v>
      </c>
      <c r="D137" t="s">
        <v>91</v>
      </c>
      <c r="E137" t="str">
        <f>IF(StatusBranchGrade[[#This Row],[Status]] = "CYS", "DoD", StatusBranchGrade[[#This Row],[Rank]] &amp; "")</f>
        <v>O-1</v>
      </c>
      <c r="F137" t="s">
        <v>91</v>
      </c>
      <c r="G137" t="str">
        <f>IF(StatusBranchGrade[[#This Row],[Rank]] = StatusBranchGrade[[#This Row],[Grade]], StatusBranchGrade[[#This Row],[Rank]], StatusBranchGrade[[#This Row],[Grade]] &amp; "/" &amp; StatusBranchGrade[[#This Row],[Rank]]) &amp; ""</f>
        <v>O-1</v>
      </c>
      <c r="H1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O-1</v>
      </c>
      <c r="I137" s="17" t="str">
        <f>SUBSTITUTE(SUBSTITUTE(SUBSTITUTE(StatusBranchGrade[[#This Row],[Status]] &amp; "  /  " &amp; StatusBranchGrade[[#This Row],[Branch]] &amp; ";", "  /  ;", ";"), "  /  ;", ";"), ";", "")</f>
        <v>Wounded Warrior--GC-approved  /  Navy</v>
      </c>
      <c r="J137">
        <v>12</v>
      </c>
      <c r="K137" s="17" t="str">
        <f>IF(LEFT(StatusBranchGrade[[#This Row],[Which]], 1) = "1", StatusBranchGrade[[#This Row],[Key]], "")</f>
        <v>Wounded Warrior--GC-approved  /  Navy  /  O-1</v>
      </c>
      <c r="L137" s="17" t="str">
        <f>IF(LEFT(StatusBranchGrade[[#This Row],[Which]], 1) = "1", StatusBranchGrade[[#This Row],[Key0]], "")</f>
        <v>Wounded Warrior--GC-approved  /  Navy</v>
      </c>
      <c r="M137" s="17" t="str">
        <f>IF(RIGHT(StatusBranchGrade[[#This Row],[Which]], 1) = "2", StatusBranchGrade[[#This Row],[Key]], "")</f>
        <v>Wounded Warrior--GC-approved  /  Navy  /  O-1</v>
      </c>
      <c r="N137" s="17" t="str">
        <f>IF(RIGHT(StatusBranchGrade[[#This Row],[Which]], 1) = "2", StatusBranchGrade[[#This Row],[Key0]], "")</f>
        <v>Wounded Warrior--GC-approved  /  Navy</v>
      </c>
      <c r="O137" s="17" t="s">
        <v>299</v>
      </c>
      <c r="P137" s="17"/>
      <c r="Q137" s="63">
        <f>--ISNUMBER(IF(StatusBranchGrade[[#This Row],[Sponsor0]] = 'Calculation Worksheet'!$AV$6 &amp; "  /  " &amp; 'Calculation Worksheet'!$AV$7, 1, ""))</f>
        <v>0</v>
      </c>
      <c r="R137" s="63" t="str">
        <f>IF(StatusBranchGrade[[#This Row],[S1]] = 1, COUNTIF($Q$3:Q137, 1), "")</f>
        <v/>
      </c>
      <c r="S137" s="63" t="str">
        <f>IFERROR(INDEX(StatusBranchGrade[Rank/Grade], MATCH(ROWS($R$3:R137)-1, StatusBranchGrade[S2], 0)), "") &amp; ""</f>
        <v/>
      </c>
      <c r="T137" s="63">
        <f>--ISNUMBER(IF(StatusBranchGrade[[#This Row],[Spouse0]] = 'Calculation Worksheet'!$CG$6 &amp; "  /  " &amp; 'Calculation Worksheet'!$CG$7, 1, ""))</f>
        <v>0</v>
      </c>
      <c r="U137" s="63" t="str">
        <f>IF(StatusBranchGrade[[#This Row],[T1]] = 1, COUNTIF($T$3:T137, 1), "")</f>
        <v/>
      </c>
      <c r="V137" s="63" t="str">
        <f>IFERROR(INDEX(StatusBranchGrade[Rank/Grade], MATCH(ROWS($U$3:U137)-1, StatusBranchGrade[T2], 0)), "") &amp; ""</f>
        <v/>
      </c>
      <c r="W137" s="63"/>
    </row>
    <row r="138" spans="1:23" x14ac:dyDescent="0.25">
      <c r="A138">
        <v>4</v>
      </c>
      <c r="B138" t="s">
        <v>339</v>
      </c>
      <c r="C138" t="s">
        <v>182</v>
      </c>
      <c r="D138" s="75" t="s">
        <v>10</v>
      </c>
      <c r="E138" s="75" t="str">
        <f>IF(StatusBranchGrade[[#This Row],[Status]] = "CYS", "DoD", StatusBranchGrade[[#This Row],[Rank]] &amp; "")</f>
        <v>O1E</v>
      </c>
      <c r="F138" s="75" t="s">
        <v>91</v>
      </c>
      <c r="G138" s="75" t="str">
        <f>IF(StatusBranchGrade[[#This Row],[Rank]] = StatusBranchGrade[[#This Row],[Grade]], StatusBranchGrade[[#This Row],[Rank]], StatusBranchGrade[[#This Row],[Grade]] &amp; "/" &amp; StatusBranchGrade[[#This Row],[Rank]]) &amp; ""</f>
        <v>O-1/O1E</v>
      </c>
      <c r="H1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O-1/O1E</v>
      </c>
      <c r="I138" s="17" t="str">
        <f>SUBSTITUTE(SUBSTITUTE(SUBSTITUTE(StatusBranchGrade[[#This Row],[Status]] &amp; "  /  " &amp; StatusBranchGrade[[#This Row],[Branch]] &amp; ";", "  /  ;", ";"), "  /  ;", ";"), ";", "")</f>
        <v>Wounded Warrior--GC-approved  /  Navy</v>
      </c>
      <c r="J138">
        <v>12</v>
      </c>
      <c r="K138" s="17" t="str">
        <f>IF(LEFT(StatusBranchGrade[[#This Row],[Which]], 1) = "1", StatusBranchGrade[[#This Row],[Key]], "")</f>
        <v>Wounded Warrior--GC-approved  /  Navy  /  O-1/O1E</v>
      </c>
      <c r="L138" s="17" t="str">
        <f>IF(LEFT(StatusBranchGrade[[#This Row],[Which]], 1) = "1", StatusBranchGrade[[#This Row],[Key0]], "")</f>
        <v>Wounded Warrior--GC-approved  /  Navy</v>
      </c>
      <c r="M138" s="17" t="str">
        <f>IF(RIGHT(StatusBranchGrade[[#This Row],[Which]], 1) = "2", StatusBranchGrade[[#This Row],[Key]], "")</f>
        <v>Wounded Warrior--GC-approved  /  Navy  /  O-1/O1E</v>
      </c>
      <c r="N138" s="17" t="str">
        <f>IF(RIGHT(StatusBranchGrade[[#This Row],[Which]], 1) = "2", StatusBranchGrade[[#This Row],[Key0]], "")</f>
        <v>Wounded Warrior--GC-approved  /  Navy</v>
      </c>
      <c r="O138" s="17" t="s">
        <v>299</v>
      </c>
      <c r="P138" s="17"/>
      <c r="Q138" s="63">
        <f>--ISNUMBER(IF(StatusBranchGrade[[#This Row],[Sponsor0]] = 'Calculation Worksheet'!$AV$6 &amp; "  /  " &amp; 'Calculation Worksheet'!$AV$7, 1, ""))</f>
        <v>0</v>
      </c>
      <c r="R138" s="63" t="str">
        <f>IF(StatusBranchGrade[[#This Row],[S1]] = 1, COUNTIF($Q$3:Q138, 1), "")</f>
        <v/>
      </c>
      <c r="S138" s="63" t="str">
        <f>IFERROR(INDEX(StatusBranchGrade[Rank/Grade], MATCH(ROWS($R$3:R138)-1, StatusBranchGrade[S2], 0)), "") &amp; ""</f>
        <v/>
      </c>
      <c r="T138" s="63">
        <f>--ISNUMBER(IF(StatusBranchGrade[[#This Row],[Spouse0]] = 'Calculation Worksheet'!$CG$6 &amp; "  /  " &amp; 'Calculation Worksheet'!$CG$7, 1, ""))</f>
        <v>0</v>
      </c>
      <c r="U138" s="63" t="str">
        <f>IF(StatusBranchGrade[[#This Row],[T1]] = 1, COUNTIF($T$3:T138, 1), "")</f>
        <v/>
      </c>
      <c r="V138" s="63" t="str">
        <f>IFERROR(INDEX(StatusBranchGrade[Rank/Grade], MATCH(ROWS($U$3:U138)-1, StatusBranchGrade[T2], 0)), "") &amp; ""</f>
        <v/>
      </c>
      <c r="W138" s="63"/>
    </row>
    <row r="139" spans="1:23" x14ac:dyDescent="0.25">
      <c r="A139">
        <v>4</v>
      </c>
      <c r="B139" t="s">
        <v>339</v>
      </c>
      <c r="C139" t="s">
        <v>182</v>
      </c>
      <c r="D139" t="s">
        <v>82</v>
      </c>
      <c r="E139" t="str">
        <f>IF(StatusBranchGrade[[#This Row],[Status]] = "CYS", "DoD", StatusBranchGrade[[#This Row],[Rank]] &amp; "")</f>
        <v>O-10</v>
      </c>
      <c r="F139" t="s">
        <v>82</v>
      </c>
      <c r="G139" t="str">
        <f>IF(StatusBranchGrade[[#This Row],[Rank]] = StatusBranchGrade[[#This Row],[Grade]], StatusBranchGrade[[#This Row],[Rank]], StatusBranchGrade[[#This Row],[Grade]] &amp; "/" &amp; StatusBranchGrade[[#This Row],[Rank]]) &amp; ""</f>
        <v>O-10</v>
      </c>
      <c r="H1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O-10</v>
      </c>
      <c r="I139" s="17" t="str">
        <f>SUBSTITUTE(SUBSTITUTE(SUBSTITUTE(StatusBranchGrade[[#This Row],[Status]] &amp; "  /  " &amp; StatusBranchGrade[[#This Row],[Branch]] &amp; ";", "  /  ;", ";"), "  /  ;", ";"), ";", "")</f>
        <v>Wounded Warrior--GC-approved  /  Navy</v>
      </c>
      <c r="J139">
        <v>12</v>
      </c>
      <c r="K139" s="17" t="str">
        <f>IF(LEFT(StatusBranchGrade[[#This Row],[Which]], 1) = "1", StatusBranchGrade[[#This Row],[Key]], "")</f>
        <v>Wounded Warrior--GC-approved  /  Navy  /  O-10</v>
      </c>
      <c r="L139" s="17" t="str">
        <f>IF(LEFT(StatusBranchGrade[[#This Row],[Which]], 1) = "1", StatusBranchGrade[[#This Row],[Key0]], "")</f>
        <v>Wounded Warrior--GC-approved  /  Navy</v>
      </c>
      <c r="M139" s="17" t="str">
        <f>IF(RIGHT(StatusBranchGrade[[#This Row],[Which]], 1) = "2", StatusBranchGrade[[#This Row],[Key]], "")</f>
        <v>Wounded Warrior--GC-approved  /  Navy  /  O-10</v>
      </c>
      <c r="N139" s="17" t="str">
        <f>IF(RIGHT(StatusBranchGrade[[#This Row],[Which]], 1) = "2", StatusBranchGrade[[#This Row],[Key0]], "")</f>
        <v>Wounded Warrior--GC-approved  /  Navy</v>
      </c>
      <c r="O139" s="17" t="s">
        <v>299</v>
      </c>
      <c r="P139" s="17"/>
      <c r="Q139" s="63">
        <f>--ISNUMBER(IF(StatusBranchGrade[[#This Row],[Sponsor0]] = 'Calculation Worksheet'!$AV$6 &amp; "  /  " &amp; 'Calculation Worksheet'!$AV$7, 1, ""))</f>
        <v>0</v>
      </c>
      <c r="R139" s="63" t="str">
        <f>IF(StatusBranchGrade[[#This Row],[S1]] = 1, COUNTIF($Q$3:Q139, 1), "")</f>
        <v/>
      </c>
      <c r="S139" s="63" t="str">
        <f>IFERROR(INDEX(StatusBranchGrade[Rank/Grade], MATCH(ROWS($R$3:R139)-1, StatusBranchGrade[S2], 0)), "") &amp; ""</f>
        <v/>
      </c>
      <c r="T139" s="63">
        <f>--ISNUMBER(IF(StatusBranchGrade[[#This Row],[Spouse0]] = 'Calculation Worksheet'!$CG$6 &amp; "  /  " &amp; 'Calculation Worksheet'!$CG$7, 1, ""))</f>
        <v>0</v>
      </c>
      <c r="U139" s="63" t="str">
        <f>IF(StatusBranchGrade[[#This Row],[T1]] = 1, COUNTIF($T$3:T139, 1), "")</f>
        <v/>
      </c>
      <c r="V139" s="63" t="str">
        <f>IFERROR(INDEX(StatusBranchGrade[Rank/Grade], MATCH(ROWS($U$3:U139)-1, StatusBranchGrade[T2], 0)), "") &amp; ""</f>
        <v/>
      </c>
      <c r="W139" s="63"/>
    </row>
    <row r="140" spans="1:23" x14ac:dyDescent="0.25">
      <c r="A140">
        <v>4</v>
      </c>
      <c r="B140" t="s">
        <v>339</v>
      </c>
      <c r="C140" t="s">
        <v>182</v>
      </c>
      <c r="D140" t="s">
        <v>90</v>
      </c>
      <c r="E140" t="str">
        <f>IF(StatusBranchGrade[[#This Row],[Status]] = "CYS", "DoD", StatusBranchGrade[[#This Row],[Rank]] &amp; "")</f>
        <v>O-2</v>
      </c>
      <c r="F140" t="s">
        <v>90</v>
      </c>
      <c r="G140" t="str">
        <f>IF(StatusBranchGrade[[#This Row],[Rank]] = StatusBranchGrade[[#This Row],[Grade]], StatusBranchGrade[[#This Row],[Rank]], StatusBranchGrade[[#This Row],[Grade]] &amp; "/" &amp; StatusBranchGrade[[#This Row],[Rank]]) &amp; ""</f>
        <v>O-2</v>
      </c>
      <c r="H1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O-2</v>
      </c>
      <c r="I140" s="17" t="str">
        <f>SUBSTITUTE(SUBSTITUTE(SUBSTITUTE(StatusBranchGrade[[#This Row],[Status]] &amp; "  /  " &amp; StatusBranchGrade[[#This Row],[Branch]] &amp; ";", "  /  ;", ";"), "  /  ;", ";"), ";", "")</f>
        <v>Wounded Warrior--GC-approved  /  Navy</v>
      </c>
      <c r="J140">
        <v>12</v>
      </c>
      <c r="K140" s="17" t="str">
        <f>IF(LEFT(StatusBranchGrade[[#This Row],[Which]], 1) = "1", StatusBranchGrade[[#This Row],[Key]], "")</f>
        <v>Wounded Warrior--GC-approved  /  Navy  /  O-2</v>
      </c>
      <c r="L140" s="17" t="str">
        <f>IF(LEFT(StatusBranchGrade[[#This Row],[Which]], 1) = "1", StatusBranchGrade[[#This Row],[Key0]], "")</f>
        <v>Wounded Warrior--GC-approved  /  Navy</v>
      </c>
      <c r="M140" s="17" t="str">
        <f>IF(RIGHT(StatusBranchGrade[[#This Row],[Which]], 1) = "2", StatusBranchGrade[[#This Row],[Key]], "")</f>
        <v>Wounded Warrior--GC-approved  /  Navy  /  O-2</v>
      </c>
      <c r="N140" s="17" t="str">
        <f>IF(RIGHT(StatusBranchGrade[[#This Row],[Which]], 1) = "2", StatusBranchGrade[[#This Row],[Key0]], "")</f>
        <v>Wounded Warrior--GC-approved  /  Navy</v>
      </c>
      <c r="O140" s="17" t="s">
        <v>299</v>
      </c>
      <c r="P140" s="17"/>
      <c r="Q140" s="63">
        <f>--ISNUMBER(IF(StatusBranchGrade[[#This Row],[Sponsor0]] = 'Calculation Worksheet'!$AV$6 &amp; "  /  " &amp; 'Calculation Worksheet'!$AV$7, 1, ""))</f>
        <v>0</v>
      </c>
      <c r="R140" s="63" t="str">
        <f>IF(StatusBranchGrade[[#This Row],[S1]] = 1, COUNTIF($Q$3:Q140, 1), "")</f>
        <v/>
      </c>
      <c r="S140" s="63" t="str">
        <f>IFERROR(INDEX(StatusBranchGrade[Rank/Grade], MATCH(ROWS($R$3:R140)-1, StatusBranchGrade[S2], 0)), "") &amp; ""</f>
        <v/>
      </c>
      <c r="T140" s="63">
        <f>--ISNUMBER(IF(StatusBranchGrade[[#This Row],[Spouse0]] = 'Calculation Worksheet'!$CG$6 &amp; "  /  " &amp; 'Calculation Worksheet'!$CG$7, 1, ""))</f>
        <v>0</v>
      </c>
      <c r="U140" s="63" t="str">
        <f>IF(StatusBranchGrade[[#This Row],[T1]] = 1, COUNTIF($T$3:T140, 1), "")</f>
        <v/>
      </c>
      <c r="V140" s="63" t="str">
        <f>IFERROR(INDEX(StatusBranchGrade[Rank/Grade], MATCH(ROWS($U$3:U140)-1, StatusBranchGrade[T2], 0)), "") &amp; ""</f>
        <v/>
      </c>
      <c r="W140" s="63"/>
    </row>
    <row r="141" spans="1:23" x14ac:dyDescent="0.25">
      <c r="A141">
        <v>4</v>
      </c>
      <c r="B141" t="s">
        <v>339</v>
      </c>
      <c r="C141" t="s">
        <v>182</v>
      </c>
      <c r="D141" s="75" t="s">
        <v>11</v>
      </c>
      <c r="E141" s="75" t="str">
        <f>IF(StatusBranchGrade[[#This Row],[Status]] = "CYS", "DoD", StatusBranchGrade[[#This Row],[Rank]] &amp; "")</f>
        <v>O2E</v>
      </c>
      <c r="F141" s="75" t="s">
        <v>90</v>
      </c>
      <c r="G141" s="75" t="str">
        <f>IF(StatusBranchGrade[[#This Row],[Rank]] = StatusBranchGrade[[#This Row],[Grade]], StatusBranchGrade[[#This Row],[Rank]], StatusBranchGrade[[#This Row],[Grade]] &amp; "/" &amp; StatusBranchGrade[[#This Row],[Rank]]) &amp; ""</f>
        <v>O-2/O2E</v>
      </c>
      <c r="H1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O-2/O2E</v>
      </c>
      <c r="I141" s="17" t="str">
        <f>SUBSTITUTE(SUBSTITUTE(SUBSTITUTE(StatusBranchGrade[[#This Row],[Status]] &amp; "  /  " &amp; StatusBranchGrade[[#This Row],[Branch]] &amp; ";", "  /  ;", ";"), "  /  ;", ";"), ";", "")</f>
        <v>Wounded Warrior--GC-approved  /  Navy</v>
      </c>
      <c r="J141">
        <v>12</v>
      </c>
      <c r="K141" s="17" t="str">
        <f>IF(LEFT(StatusBranchGrade[[#This Row],[Which]], 1) = "1", StatusBranchGrade[[#This Row],[Key]], "")</f>
        <v>Wounded Warrior--GC-approved  /  Navy  /  O-2/O2E</v>
      </c>
      <c r="L141" s="17" t="str">
        <f>IF(LEFT(StatusBranchGrade[[#This Row],[Which]], 1) = "1", StatusBranchGrade[[#This Row],[Key0]], "")</f>
        <v>Wounded Warrior--GC-approved  /  Navy</v>
      </c>
      <c r="M141" s="17" t="str">
        <f>IF(RIGHT(StatusBranchGrade[[#This Row],[Which]], 1) = "2", StatusBranchGrade[[#This Row],[Key]], "")</f>
        <v>Wounded Warrior--GC-approved  /  Navy  /  O-2/O2E</v>
      </c>
      <c r="N141" s="17" t="str">
        <f>IF(RIGHT(StatusBranchGrade[[#This Row],[Which]], 1) = "2", StatusBranchGrade[[#This Row],[Key0]], "")</f>
        <v>Wounded Warrior--GC-approved  /  Navy</v>
      </c>
      <c r="O141" s="17" t="s">
        <v>299</v>
      </c>
      <c r="P141" s="17"/>
      <c r="Q141" s="63">
        <f>--ISNUMBER(IF(StatusBranchGrade[[#This Row],[Sponsor0]] = 'Calculation Worksheet'!$AV$6 &amp; "  /  " &amp; 'Calculation Worksheet'!$AV$7, 1, ""))</f>
        <v>0</v>
      </c>
      <c r="R141" s="63" t="str">
        <f>IF(StatusBranchGrade[[#This Row],[S1]] = 1, COUNTIF($Q$3:Q141, 1), "")</f>
        <v/>
      </c>
      <c r="S141" s="63" t="str">
        <f>IFERROR(INDEX(StatusBranchGrade[Rank/Grade], MATCH(ROWS($R$3:R141)-1, StatusBranchGrade[S2], 0)), "") &amp; ""</f>
        <v/>
      </c>
      <c r="T141" s="63">
        <f>--ISNUMBER(IF(StatusBranchGrade[[#This Row],[Spouse0]] = 'Calculation Worksheet'!$CG$6 &amp; "  /  " &amp; 'Calculation Worksheet'!$CG$7, 1, ""))</f>
        <v>0</v>
      </c>
      <c r="U141" s="63" t="str">
        <f>IF(StatusBranchGrade[[#This Row],[T1]] = 1, COUNTIF($T$3:T141, 1), "")</f>
        <v/>
      </c>
      <c r="V141" s="63" t="str">
        <f>IFERROR(INDEX(StatusBranchGrade[Rank/Grade], MATCH(ROWS($U$3:U141)-1, StatusBranchGrade[T2], 0)), "") &amp; ""</f>
        <v/>
      </c>
      <c r="W141" s="63"/>
    </row>
    <row r="142" spans="1:23" x14ac:dyDescent="0.25">
      <c r="A142">
        <v>4</v>
      </c>
      <c r="B142" t="s">
        <v>339</v>
      </c>
      <c r="C142" t="s">
        <v>182</v>
      </c>
      <c r="D142" t="s">
        <v>89</v>
      </c>
      <c r="E142" t="str">
        <f>IF(StatusBranchGrade[[#This Row],[Status]] = "CYS", "DoD", StatusBranchGrade[[#This Row],[Rank]] &amp; "")</f>
        <v>O-3</v>
      </c>
      <c r="F142" t="s">
        <v>89</v>
      </c>
      <c r="G142" t="str">
        <f>IF(StatusBranchGrade[[#This Row],[Rank]] = StatusBranchGrade[[#This Row],[Grade]], StatusBranchGrade[[#This Row],[Rank]], StatusBranchGrade[[#This Row],[Grade]] &amp; "/" &amp; StatusBranchGrade[[#This Row],[Rank]]) &amp; ""</f>
        <v>O-3</v>
      </c>
      <c r="H1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O-3</v>
      </c>
      <c r="I142" s="17" t="str">
        <f>SUBSTITUTE(SUBSTITUTE(SUBSTITUTE(StatusBranchGrade[[#This Row],[Status]] &amp; "  /  " &amp; StatusBranchGrade[[#This Row],[Branch]] &amp; ";", "  /  ;", ";"), "  /  ;", ";"), ";", "")</f>
        <v>Wounded Warrior--GC-approved  /  Navy</v>
      </c>
      <c r="J142">
        <v>12</v>
      </c>
      <c r="K142" s="17" t="str">
        <f>IF(LEFT(StatusBranchGrade[[#This Row],[Which]], 1) = "1", StatusBranchGrade[[#This Row],[Key]], "")</f>
        <v>Wounded Warrior--GC-approved  /  Navy  /  O-3</v>
      </c>
      <c r="L142" s="17" t="str">
        <f>IF(LEFT(StatusBranchGrade[[#This Row],[Which]], 1) = "1", StatusBranchGrade[[#This Row],[Key0]], "")</f>
        <v>Wounded Warrior--GC-approved  /  Navy</v>
      </c>
      <c r="M142" s="17" t="str">
        <f>IF(RIGHT(StatusBranchGrade[[#This Row],[Which]], 1) = "2", StatusBranchGrade[[#This Row],[Key]], "")</f>
        <v>Wounded Warrior--GC-approved  /  Navy  /  O-3</v>
      </c>
      <c r="N142" s="17" t="str">
        <f>IF(RIGHT(StatusBranchGrade[[#This Row],[Which]], 1) = "2", StatusBranchGrade[[#This Row],[Key0]], "")</f>
        <v>Wounded Warrior--GC-approved  /  Navy</v>
      </c>
      <c r="O142" s="17" t="s">
        <v>299</v>
      </c>
      <c r="P142" s="17"/>
      <c r="Q142" s="63">
        <f>--ISNUMBER(IF(StatusBranchGrade[[#This Row],[Sponsor0]] = 'Calculation Worksheet'!$AV$6 &amp; "  /  " &amp; 'Calculation Worksheet'!$AV$7, 1, ""))</f>
        <v>0</v>
      </c>
      <c r="R142" s="63" t="str">
        <f>IF(StatusBranchGrade[[#This Row],[S1]] = 1, COUNTIF($Q$3:Q142, 1), "")</f>
        <v/>
      </c>
      <c r="S142" s="63" t="str">
        <f>IFERROR(INDEX(StatusBranchGrade[Rank/Grade], MATCH(ROWS($R$3:R142)-1, StatusBranchGrade[S2], 0)), "") &amp; ""</f>
        <v/>
      </c>
      <c r="T142" s="63">
        <f>--ISNUMBER(IF(StatusBranchGrade[[#This Row],[Spouse0]] = 'Calculation Worksheet'!$CG$6 &amp; "  /  " &amp; 'Calculation Worksheet'!$CG$7, 1, ""))</f>
        <v>0</v>
      </c>
      <c r="U142" s="63" t="str">
        <f>IF(StatusBranchGrade[[#This Row],[T1]] = 1, COUNTIF($T$3:T142, 1), "")</f>
        <v/>
      </c>
      <c r="V142" s="63" t="str">
        <f>IFERROR(INDEX(StatusBranchGrade[Rank/Grade], MATCH(ROWS($U$3:U142)-1, StatusBranchGrade[T2], 0)), "") &amp; ""</f>
        <v/>
      </c>
      <c r="W142" s="63"/>
    </row>
    <row r="143" spans="1:23" x14ac:dyDescent="0.25">
      <c r="A143">
        <v>4</v>
      </c>
      <c r="B143" t="s">
        <v>339</v>
      </c>
      <c r="C143" t="s">
        <v>182</v>
      </c>
      <c r="D143" s="75" t="s">
        <v>12</v>
      </c>
      <c r="E143" s="75" t="str">
        <f>IF(StatusBranchGrade[[#This Row],[Status]] = "CYS", "DoD", StatusBranchGrade[[#This Row],[Rank]] &amp; "")</f>
        <v>O3E</v>
      </c>
      <c r="F143" s="75" t="s">
        <v>89</v>
      </c>
      <c r="G143" s="75" t="str">
        <f>IF(StatusBranchGrade[[#This Row],[Rank]] = StatusBranchGrade[[#This Row],[Grade]], StatusBranchGrade[[#This Row],[Rank]], StatusBranchGrade[[#This Row],[Grade]] &amp; "/" &amp; StatusBranchGrade[[#This Row],[Rank]]) &amp; ""</f>
        <v>O-3/O3E</v>
      </c>
      <c r="H1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O-3/O3E</v>
      </c>
      <c r="I143" s="17" t="str">
        <f>SUBSTITUTE(SUBSTITUTE(SUBSTITUTE(StatusBranchGrade[[#This Row],[Status]] &amp; "  /  " &amp; StatusBranchGrade[[#This Row],[Branch]] &amp; ";", "  /  ;", ";"), "  /  ;", ";"), ";", "")</f>
        <v>Wounded Warrior--GC-approved  /  Navy</v>
      </c>
      <c r="J143">
        <v>12</v>
      </c>
      <c r="K143" s="17" t="str">
        <f>IF(LEFT(StatusBranchGrade[[#This Row],[Which]], 1) = "1", StatusBranchGrade[[#This Row],[Key]], "")</f>
        <v>Wounded Warrior--GC-approved  /  Navy  /  O-3/O3E</v>
      </c>
      <c r="L143" s="17" t="str">
        <f>IF(LEFT(StatusBranchGrade[[#This Row],[Which]], 1) = "1", StatusBranchGrade[[#This Row],[Key0]], "")</f>
        <v>Wounded Warrior--GC-approved  /  Navy</v>
      </c>
      <c r="M143" s="17" t="str">
        <f>IF(RIGHT(StatusBranchGrade[[#This Row],[Which]], 1) = "2", StatusBranchGrade[[#This Row],[Key]], "")</f>
        <v>Wounded Warrior--GC-approved  /  Navy  /  O-3/O3E</v>
      </c>
      <c r="N143" s="17" t="str">
        <f>IF(RIGHT(StatusBranchGrade[[#This Row],[Which]], 1) = "2", StatusBranchGrade[[#This Row],[Key0]], "")</f>
        <v>Wounded Warrior--GC-approved  /  Navy</v>
      </c>
      <c r="O143" s="17" t="s">
        <v>299</v>
      </c>
      <c r="P143" s="17"/>
      <c r="Q143" s="63">
        <f>--ISNUMBER(IF(StatusBranchGrade[[#This Row],[Sponsor0]] = 'Calculation Worksheet'!$AV$6 &amp; "  /  " &amp; 'Calculation Worksheet'!$AV$7, 1, ""))</f>
        <v>0</v>
      </c>
      <c r="R143" s="63" t="str">
        <f>IF(StatusBranchGrade[[#This Row],[S1]] = 1, COUNTIF($Q$3:Q143, 1), "")</f>
        <v/>
      </c>
      <c r="S143" s="63" t="str">
        <f>IFERROR(INDEX(StatusBranchGrade[Rank/Grade], MATCH(ROWS($R$3:R143)-1, StatusBranchGrade[S2], 0)), "") &amp; ""</f>
        <v/>
      </c>
      <c r="T143" s="63">
        <f>--ISNUMBER(IF(StatusBranchGrade[[#This Row],[Spouse0]] = 'Calculation Worksheet'!$CG$6 &amp; "  /  " &amp; 'Calculation Worksheet'!$CG$7, 1, ""))</f>
        <v>0</v>
      </c>
      <c r="U143" s="63" t="str">
        <f>IF(StatusBranchGrade[[#This Row],[T1]] = 1, COUNTIF($T$3:T143, 1), "")</f>
        <v/>
      </c>
      <c r="V143" s="63" t="str">
        <f>IFERROR(INDEX(StatusBranchGrade[Rank/Grade], MATCH(ROWS($U$3:U143)-1, StatusBranchGrade[T2], 0)), "") &amp; ""</f>
        <v/>
      </c>
      <c r="W143" s="63"/>
    </row>
    <row r="144" spans="1:23" x14ac:dyDescent="0.25">
      <c r="A144">
        <v>4</v>
      </c>
      <c r="B144" t="s">
        <v>339</v>
      </c>
      <c r="C144" t="s">
        <v>182</v>
      </c>
      <c r="D144" t="s">
        <v>88</v>
      </c>
      <c r="E144" t="str">
        <f>IF(StatusBranchGrade[[#This Row],[Status]] = "CYS", "DoD", StatusBranchGrade[[#This Row],[Rank]] &amp; "")</f>
        <v>O-4</v>
      </c>
      <c r="F144" t="s">
        <v>88</v>
      </c>
      <c r="G144" t="str">
        <f>IF(StatusBranchGrade[[#This Row],[Rank]] = StatusBranchGrade[[#This Row],[Grade]], StatusBranchGrade[[#This Row],[Rank]], StatusBranchGrade[[#This Row],[Grade]] &amp; "/" &amp; StatusBranchGrade[[#This Row],[Rank]]) &amp; ""</f>
        <v>O-4</v>
      </c>
      <c r="H1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O-4</v>
      </c>
      <c r="I144" s="17" t="str">
        <f>SUBSTITUTE(SUBSTITUTE(SUBSTITUTE(StatusBranchGrade[[#This Row],[Status]] &amp; "  /  " &amp; StatusBranchGrade[[#This Row],[Branch]] &amp; ";", "  /  ;", ";"), "  /  ;", ";"), ";", "")</f>
        <v>Wounded Warrior--GC-approved  /  Navy</v>
      </c>
      <c r="J144">
        <v>12</v>
      </c>
      <c r="K144" s="17" t="str">
        <f>IF(LEFT(StatusBranchGrade[[#This Row],[Which]], 1) = "1", StatusBranchGrade[[#This Row],[Key]], "")</f>
        <v>Wounded Warrior--GC-approved  /  Navy  /  O-4</v>
      </c>
      <c r="L144" s="17" t="str">
        <f>IF(LEFT(StatusBranchGrade[[#This Row],[Which]], 1) = "1", StatusBranchGrade[[#This Row],[Key0]], "")</f>
        <v>Wounded Warrior--GC-approved  /  Navy</v>
      </c>
      <c r="M144" s="17" t="str">
        <f>IF(RIGHT(StatusBranchGrade[[#This Row],[Which]], 1) = "2", StatusBranchGrade[[#This Row],[Key]], "")</f>
        <v>Wounded Warrior--GC-approved  /  Navy  /  O-4</v>
      </c>
      <c r="N144" s="17" t="str">
        <f>IF(RIGHT(StatusBranchGrade[[#This Row],[Which]], 1) = "2", StatusBranchGrade[[#This Row],[Key0]], "")</f>
        <v>Wounded Warrior--GC-approved  /  Navy</v>
      </c>
      <c r="O144" s="17" t="s">
        <v>299</v>
      </c>
      <c r="P144" s="17"/>
      <c r="Q144" s="63">
        <f>--ISNUMBER(IF(StatusBranchGrade[[#This Row],[Sponsor0]] = 'Calculation Worksheet'!$AV$6 &amp; "  /  " &amp; 'Calculation Worksheet'!$AV$7, 1, ""))</f>
        <v>0</v>
      </c>
      <c r="R144" s="63" t="str">
        <f>IF(StatusBranchGrade[[#This Row],[S1]] = 1, COUNTIF($Q$3:Q144, 1), "")</f>
        <v/>
      </c>
      <c r="S144" s="63" t="str">
        <f>IFERROR(INDEX(StatusBranchGrade[Rank/Grade], MATCH(ROWS($R$3:R144)-1, StatusBranchGrade[S2], 0)), "") &amp; ""</f>
        <v/>
      </c>
      <c r="T144" s="63">
        <f>--ISNUMBER(IF(StatusBranchGrade[[#This Row],[Spouse0]] = 'Calculation Worksheet'!$CG$6 &amp; "  /  " &amp; 'Calculation Worksheet'!$CG$7, 1, ""))</f>
        <v>0</v>
      </c>
      <c r="U144" s="63" t="str">
        <f>IF(StatusBranchGrade[[#This Row],[T1]] = 1, COUNTIF($T$3:T144, 1), "")</f>
        <v/>
      </c>
      <c r="V144" s="63" t="str">
        <f>IFERROR(INDEX(StatusBranchGrade[Rank/Grade], MATCH(ROWS($U$3:U144)-1, StatusBranchGrade[T2], 0)), "") &amp; ""</f>
        <v/>
      </c>
      <c r="W144" s="63"/>
    </row>
    <row r="145" spans="1:23" x14ac:dyDescent="0.25">
      <c r="A145">
        <v>4</v>
      </c>
      <c r="B145" t="s">
        <v>339</v>
      </c>
      <c r="C145" t="s">
        <v>182</v>
      </c>
      <c r="D145" t="s">
        <v>87</v>
      </c>
      <c r="E145" t="str">
        <f>IF(StatusBranchGrade[[#This Row],[Status]] = "CYS", "DoD", StatusBranchGrade[[#This Row],[Rank]] &amp; "")</f>
        <v>O-5</v>
      </c>
      <c r="F145" t="s">
        <v>87</v>
      </c>
      <c r="G145" t="str">
        <f>IF(StatusBranchGrade[[#This Row],[Rank]] = StatusBranchGrade[[#This Row],[Grade]], StatusBranchGrade[[#This Row],[Rank]], StatusBranchGrade[[#This Row],[Grade]] &amp; "/" &amp; StatusBranchGrade[[#This Row],[Rank]]) &amp; ""</f>
        <v>O-5</v>
      </c>
      <c r="H1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O-5</v>
      </c>
      <c r="I145" s="17" t="str">
        <f>SUBSTITUTE(SUBSTITUTE(SUBSTITUTE(StatusBranchGrade[[#This Row],[Status]] &amp; "  /  " &amp; StatusBranchGrade[[#This Row],[Branch]] &amp; ";", "  /  ;", ";"), "  /  ;", ";"), ";", "")</f>
        <v>Wounded Warrior--GC-approved  /  Navy</v>
      </c>
      <c r="J145">
        <v>12</v>
      </c>
      <c r="K145" s="17" t="str">
        <f>IF(LEFT(StatusBranchGrade[[#This Row],[Which]], 1) = "1", StatusBranchGrade[[#This Row],[Key]], "")</f>
        <v>Wounded Warrior--GC-approved  /  Navy  /  O-5</v>
      </c>
      <c r="L145" s="17" t="str">
        <f>IF(LEFT(StatusBranchGrade[[#This Row],[Which]], 1) = "1", StatusBranchGrade[[#This Row],[Key0]], "")</f>
        <v>Wounded Warrior--GC-approved  /  Navy</v>
      </c>
      <c r="M145" s="17" t="str">
        <f>IF(RIGHT(StatusBranchGrade[[#This Row],[Which]], 1) = "2", StatusBranchGrade[[#This Row],[Key]], "")</f>
        <v>Wounded Warrior--GC-approved  /  Navy  /  O-5</v>
      </c>
      <c r="N145" s="17" t="str">
        <f>IF(RIGHT(StatusBranchGrade[[#This Row],[Which]], 1) = "2", StatusBranchGrade[[#This Row],[Key0]], "")</f>
        <v>Wounded Warrior--GC-approved  /  Navy</v>
      </c>
      <c r="O145" s="17" t="s">
        <v>299</v>
      </c>
      <c r="P145" s="17"/>
      <c r="Q145" s="63">
        <f>--ISNUMBER(IF(StatusBranchGrade[[#This Row],[Sponsor0]] = 'Calculation Worksheet'!$AV$6 &amp; "  /  " &amp; 'Calculation Worksheet'!$AV$7, 1, ""))</f>
        <v>0</v>
      </c>
      <c r="R145" s="63" t="str">
        <f>IF(StatusBranchGrade[[#This Row],[S1]] = 1, COUNTIF($Q$3:Q145, 1), "")</f>
        <v/>
      </c>
      <c r="S145" s="63" t="str">
        <f>IFERROR(INDEX(StatusBranchGrade[Rank/Grade], MATCH(ROWS($R$3:R145)-1, StatusBranchGrade[S2], 0)), "") &amp; ""</f>
        <v/>
      </c>
      <c r="T145" s="63">
        <f>--ISNUMBER(IF(StatusBranchGrade[[#This Row],[Spouse0]] = 'Calculation Worksheet'!$CG$6 &amp; "  /  " &amp; 'Calculation Worksheet'!$CG$7, 1, ""))</f>
        <v>0</v>
      </c>
      <c r="U145" s="63" t="str">
        <f>IF(StatusBranchGrade[[#This Row],[T1]] = 1, COUNTIF($T$3:T145, 1), "")</f>
        <v/>
      </c>
      <c r="V145" s="63" t="str">
        <f>IFERROR(INDEX(StatusBranchGrade[Rank/Grade], MATCH(ROWS($U$3:U145)-1, StatusBranchGrade[T2], 0)), "") &amp; ""</f>
        <v/>
      </c>
      <c r="W145" s="63"/>
    </row>
    <row r="146" spans="1:23" x14ac:dyDescent="0.25">
      <c r="A146">
        <v>4</v>
      </c>
      <c r="B146" t="s">
        <v>339</v>
      </c>
      <c r="C146" t="s">
        <v>182</v>
      </c>
      <c r="D146" t="s">
        <v>86</v>
      </c>
      <c r="E146" t="str">
        <f>IF(StatusBranchGrade[[#This Row],[Status]] = "CYS", "DoD", StatusBranchGrade[[#This Row],[Rank]] &amp; "")</f>
        <v>O-6</v>
      </c>
      <c r="F146" t="s">
        <v>86</v>
      </c>
      <c r="G146" t="str">
        <f>IF(StatusBranchGrade[[#This Row],[Rank]] = StatusBranchGrade[[#This Row],[Grade]], StatusBranchGrade[[#This Row],[Rank]], StatusBranchGrade[[#This Row],[Grade]] &amp; "/" &amp; StatusBranchGrade[[#This Row],[Rank]]) &amp; ""</f>
        <v>O-6</v>
      </c>
      <c r="H1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O-6</v>
      </c>
      <c r="I146" s="17" t="str">
        <f>SUBSTITUTE(SUBSTITUTE(SUBSTITUTE(StatusBranchGrade[[#This Row],[Status]] &amp; "  /  " &amp; StatusBranchGrade[[#This Row],[Branch]] &amp; ";", "  /  ;", ";"), "  /  ;", ";"), ";", "")</f>
        <v>Wounded Warrior--GC-approved  /  Navy</v>
      </c>
      <c r="J146">
        <v>12</v>
      </c>
      <c r="K146" s="17" t="str">
        <f>IF(LEFT(StatusBranchGrade[[#This Row],[Which]], 1) = "1", StatusBranchGrade[[#This Row],[Key]], "")</f>
        <v>Wounded Warrior--GC-approved  /  Navy  /  O-6</v>
      </c>
      <c r="L146" s="17" t="str">
        <f>IF(LEFT(StatusBranchGrade[[#This Row],[Which]], 1) = "1", StatusBranchGrade[[#This Row],[Key0]], "")</f>
        <v>Wounded Warrior--GC-approved  /  Navy</v>
      </c>
      <c r="M146" s="17" t="str">
        <f>IF(RIGHT(StatusBranchGrade[[#This Row],[Which]], 1) = "2", StatusBranchGrade[[#This Row],[Key]], "")</f>
        <v>Wounded Warrior--GC-approved  /  Navy  /  O-6</v>
      </c>
      <c r="N146" s="17" t="str">
        <f>IF(RIGHT(StatusBranchGrade[[#This Row],[Which]], 1) = "2", StatusBranchGrade[[#This Row],[Key0]], "")</f>
        <v>Wounded Warrior--GC-approved  /  Navy</v>
      </c>
      <c r="O146" s="17" t="s">
        <v>299</v>
      </c>
      <c r="P146" s="17"/>
      <c r="Q146" s="63">
        <f>--ISNUMBER(IF(StatusBranchGrade[[#This Row],[Sponsor0]] = 'Calculation Worksheet'!$AV$6 &amp; "  /  " &amp; 'Calculation Worksheet'!$AV$7, 1, ""))</f>
        <v>0</v>
      </c>
      <c r="R146" s="63" t="str">
        <f>IF(StatusBranchGrade[[#This Row],[S1]] = 1, COUNTIF($Q$3:Q146, 1), "")</f>
        <v/>
      </c>
      <c r="S146" s="63" t="str">
        <f>IFERROR(INDEX(StatusBranchGrade[Rank/Grade], MATCH(ROWS($R$3:R146)-1, StatusBranchGrade[S2], 0)), "") &amp; ""</f>
        <v/>
      </c>
      <c r="T146" s="63">
        <f>--ISNUMBER(IF(StatusBranchGrade[[#This Row],[Spouse0]] = 'Calculation Worksheet'!$CG$6 &amp; "  /  " &amp; 'Calculation Worksheet'!$CG$7, 1, ""))</f>
        <v>0</v>
      </c>
      <c r="U146" s="63" t="str">
        <f>IF(StatusBranchGrade[[#This Row],[T1]] = 1, COUNTIF($T$3:T146, 1), "")</f>
        <v/>
      </c>
      <c r="V146" s="63" t="str">
        <f>IFERROR(INDEX(StatusBranchGrade[Rank/Grade], MATCH(ROWS($U$3:U146)-1, StatusBranchGrade[T2], 0)), "") &amp; ""</f>
        <v/>
      </c>
      <c r="W146" s="63"/>
    </row>
    <row r="147" spans="1:23" x14ac:dyDescent="0.25">
      <c r="A147">
        <v>4</v>
      </c>
      <c r="B147" t="s">
        <v>339</v>
      </c>
      <c r="C147" t="s">
        <v>182</v>
      </c>
      <c r="D147" t="s">
        <v>85</v>
      </c>
      <c r="E147" t="str">
        <f>IF(StatusBranchGrade[[#This Row],[Status]] = "CYS", "DoD", StatusBranchGrade[[#This Row],[Rank]] &amp; "")</f>
        <v>O-7</v>
      </c>
      <c r="F147" t="s">
        <v>85</v>
      </c>
      <c r="G147" t="str">
        <f>IF(StatusBranchGrade[[#This Row],[Rank]] = StatusBranchGrade[[#This Row],[Grade]], StatusBranchGrade[[#This Row],[Rank]], StatusBranchGrade[[#This Row],[Grade]] &amp; "/" &amp; StatusBranchGrade[[#This Row],[Rank]]) &amp; ""</f>
        <v>O-7</v>
      </c>
      <c r="H1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O-7</v>
      </c>
      <c r="I147" s="17" t="str">
        <f>SUBSTITUTE(SUBSTITUTE(SUBSTITUTE(StatusBranchGrade[[#This Row],[Status]] &amp; "  /  " &amp; StatusBranchGrade[[#This Row],[Branch]] &amp; ";", "  /  ;", ";"), "  /  ;", ";"), ";", "")</f>
        <v>Wounded Warrior--GC-approved  /  Navy</v>
      </c>
      <c r="J147">
        <v>12</v>
      </c>
      <c r="K147" s="17" t="str">
        <f>IF(LEFT(StatusBranchGrade[[#This Row],[Which]], 1) = "1", StatusBranchGrade[[#This Row],[Key]], "")</f>
        <v>Wounded Warrior--GC-approved  /  Navy  /  O-7</v>
      </c>
      <c r="L147" s="17" t="str">
        <f>IF(LEFT(StatusBranchGrade[[#This Row],[Which]], 1) = "1", StatusBranchGrade[[#This Row],[Key0]], "")</f>
        <v>Wounded Warrior--GC-approved  /  Navy</v>
      </c>
      <c r="M147" s="17" t="str">
        <f>IF(RIGHT(StatusBranchGrade[[#This Row],[Which]], 1) = "2", StatusBranchGrade[[#This Row],[Key]], "")</f>
        <v>Wounded Warrior--GC-approved  /  Navy  /  O-7</v>
      </c>
      <c r="N147" s="17" t="str">
        <f>IF(RIGHT(StatusBranchGrade[[#This Row],[Which]], 1) = "2", StatusBranchGrade[[#This Row],[Key0]], "")</f>
        <v>Wounded Warrior--GC-approved  /  Navy</v>
      </c>
      <c r="O147" s="17" t="s">
        <v>299</v>
      </c>
      <c r="P147" s="17"/>
      <c r="Q147" s="63">
        <f>--ISNUMBER(IF(StatusBranchGrade[[#This Row],[Sponsor0]] = 'Calculation Worksheet'!$AV$6 &amp; "  /  " &amp; 'Calculation Worksheet'!$AV$7, 1, ""))</f>
        <v>0</v>
      </c>
      <c r="R147" s="63" t="str">
        <f>IF(StatusBranchGrade[[#This Row],[S1]] = 1, COUNTIF($Q$3:Q147, 1), "")</f>
        <v/>
      </c>
      <c r="S147" s="63" t="str">
        <f>IFERROR(INDEX(StatusBranchGrade[Rank/Grade], MATCH(ROWS($R$3:R147)-1, StatusBranchGrade[S2], 0)), "") &amp; ""</f>
        <v/>
      </c>
      <c r="T147" s="63">
        <f>--ISNUMBER(IF(StatusBranchGrade[[#This Row],[Spouse0]] = 'Calculation Worksheet'!$CG$6 &amp; "  /  " &amp; 'Calculation Worksheet'!$CG$7, 1, ""))</f>
        <v>0</v>
      </c>
      <c r="U147" s="63" t="str">
        <f>IF(StatusBranchGrade[[#This Row],[T1]] = 1, COUNTIF($T$3:T147, 1), "")</f>
        <v/>
      </c>
      <c r="V147" s="63" t="str">
        <f>IFERROR(INDEX(StatusBranchGrade[Rank/Grade], MATCH(ROWS($U$3:U147)-1, StatusBranchGrade[T2], 0)), "") &amp; ""</f>
        <v/>
      </c>
      <c r="W147" s="63"/>
    </row>
    <row r="148" spans="1:23" x14ac:dyDescent="0.25">
      <c r="A148">
        <v>4</v>
      </c>
      <c r="B148" t="s">
        <v>339</v>
      </c>
      <c r="C148" t="s">
        <v>182</v>
      </c>
      <c r="D148" t="s">
        <v>84</v>
      </c>
      <c r="E148" t="str">
        <f>IF(StatusBranchGrade[[#This Row],[Status]] = "CYS", "DoD", StatusBranchGrade[[#This Row],[Rank]] &amp; "")</f>
        <v>O-8</v>
      </c>
      <c r="F148" t="s">
        <v>84</v>
      </c>
      <c r="G148" t="str">
        <f>IF(StatusBranchGrade[[#This Row],[Rank]] = StatusBranchGrade[[#This Row],[Grade]], StatusBranchGrade[[#This Row],[Rank]], StatusBranchGrade[[#This Row],[Grade]] &amp; "/" &amp; StatusBranchGrade[[#This Row],[Rank]]) &amp; ""</f>
        <v>O-8</v>
      </c>
      <c r="H1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O-8</v>
      </c>
      <c r="I148" s="17" t="str">
        <f>SUBSTITUTE(SUBSTITUTE(SUBSTITUTE(StatusBranchGrade[[#This Row],[Status]] &amp; "  /  " &amp; StatusBranchGrade[[#This Row],[Branch]] &amp; ";", "  /  ;", ";"), "  /  ;", ";"), ";", "")</f>
        <v>Wounded Warrior--GC-approved  /  Navy</v>
      </c>
      <c r="J148">
        <v>12</v>
      </c>
      <c r="K148" s="17" t="str">
        <f>IF(LEFT(StatusBranchGrade[[#This Row],[Which]], 1) = "1", StatusBranchGrade[[#This Row],[Key]], "")</f>
        <v>Wounded Warrior--GC-approved  /  Navy  /  O-8</v>
      </c>
      <c r="L148" s="17" t="str">
        <f>IF(LEFT(StatusBranchGrade[[#This Row],[Which]], 1) = "1", StatusBranchGrade[[#This Row],[Key0]], "")</f>
        <v>Wounded Warrior--GC-approved  /  Navy</v>
      </c>
      <c r="M148" s="17" t="str">
        <f>IF(RIGHT(StatusBranchGrade[[#This Row],[Which]], 1) = "2", StatusBranchGrade[[#This Row],[Key]], "")</f>
        <v>Wounded Warrior--GC-approved  /  Navy  /  O-8</v>
      </c>
      <c r="N148" s="17" t="str">
        <f>IF(RIGHT(StatusBranchGrade[[#This Row],[Which]], 1) = "2", StatusBranchGrade[[#This Row],[Key0]], "")</f>
        <v>Wounded Warrior--GC-approved  /  Navy</v>
      </c>
      <c r="O148" s="17" t="s">
        <v>299</v>
      </c>
      <c r="P148" s="17"/>
      <c r="Q148" s="63">
        <f>--ISNUMBER(IF(StatusBranchGrade[[#This Row],[Sponsor0]] = 'Calculation Worksheet'!$AV$6 &amp; "  /  " &amp; 'Calculation Worksheet'!$AV$7, 1, ""))</f>
        <v>0</v>
      </c>
      <c r="R148" s="63" t="str">
        <f>IF(StatusBranchGrade[[#This Row],[S1]] = 1, COUNTIF($Q$3:Q148, 1), "")</f>
        <v/>
      </c>
      <c r="S148" s="63" t="str">
        <f>IFERROR(INDEX(StatusBranchGrade[Rank/Grade], MATCH(ROWS($R$3:R148)-1, StatusBranchGrade[S2], 0)), "") &amp; ""</f>
        <v/>
      </c>
      <c r="T148" s="63">
        <f>--ISNUMBER(IF(StatusBranchGrade[[#This Row],[Spouse0]] = 'Calculation Worksheet'!$CG$6 &amp; "  /  " &amp; 'Calculation Worksheet'!$CG$7, 1, ""))</f>
        <v>0</v>
      </c>
      <c r="U148" s="63" t="str">
        <f>IF(StatusBranchGrade[[#This Row],[T1]] = 1, COUNTIF($T$3:T148, 1), "")</f>
        <v/>
      </c>
      <c r="V148" s="63" t="str">
        <f>IFERROR(INDEX(StatusBranchGrade[Rank/Grade], MATCH(ROWS($U$3:U148)-1, StatusBranchGrade[T2], 0)), "") &amp; ""</f>
        <v/>
      </c>
      <c r="W148" s="63"/>
    </row>
    <row r="149" spans="1:23" x14ac:dyDescent="0.25">
      <c r="A149">
        <v>4</v>
      </c>
      <c r="B149" t="s">
        <v>339</v>
      </c>
      <c r="C149" t="s">
        <v>182</v>
      </c>
      <c r="D149" t="s">
        <v>83</v>
      </c>
      <c r="E149" t="str">
        <f>IF(StatusBranchGrade[[#This Row],[Status]] = "CYS", "DoD", StatusBranchGrade[[#This Row],[Rank]] &amp; "")</f>
        <v>O-9</v>
      </c>
      <c r="F149" t="s">
        <v>83</v>
      </c>
      <c r="G149" t="str">
        <f>IF(StatusBranchGrade[[#This Row],[Rank]] = StatusBranchGrade[[#This Row],[Grade]], StatusBranchGrade[[#This Row],[Rank]], StatusBranchGrade[[#This Row],[Grade]] &amp; "/" &amp; StatusBranchGrade[[#This Row],[Rank]]) &amp; ""</f>
        <v>O-9</v>
      </c>
      <c r="H1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O-9</v>
      </c>
      <c r="I149" s="17" t="str">
        <f>SUBSTITUTE(SUBSTITUTE(SUBSTITUTE(StatusBranchGrade[[#This Row],[Status]] &amp; "  /  " &amp; StatusBranchGrade[[#This Row],[Branch]] &amp; ";", "  /  ;", ";"), "  /  ;", ";"), ";", "")</f>
        <v>Wounded Warrior--GC-approved  /  Navy</v>
      </c>
      <c r="J149">
        <v>12</v>
      </c>
      <c r="K149" s="17" t="str">
        <f>IF(LEFT(StatusBranchGrade[[#This Row],[Which]], 1) = "1", StatusBranchGrade[[#This Row],[Key]], "")</f>
        <v>Wounded Warrior--GC-approved  /  Navy  /  O-9</v>
      </c>
      <c r="L149" s="17" t="str">
        <f>IF(LEFT(StatusBranchGrade[[#This Row],[Which]], 1) = "1", StatusBranchGrade[[#This Row],[Key0]], "")</f>
        <v>Wounded Warrior--GC-approved  /  Navy</v>
      </c>
      <c r="M149" s="17" t="str">
        <f>IF(RIGHT(StatusBranchGrade[[#This Row],[Which]], 1) = "2", StatusBranchGrade[[#This Row],[Key]], "")</f>
        <v>Wounded Warrior--GC-approved  /  Navy  /  O-9</v>
      </c>
      <c r="N149" s="17" t="str">
        <f>IF(RIGHT(StatusBranchGrade[[#This Row],[Which]], 1) = "2", StatusBranchGrade[[#This Row],[Key0]], "")</f>
        <v>Wounded Warrior--GC-approved  /  Navy</v>
      </c>
      <c r="O149" s="17" t="s">
        <v>299</v>
      </c>
      <c r="P149" s="17"/>
      <c r="Q149" s="63">
        <f>--ISNUMBER(IF(StatusBranchGrade[[#This Row],[Sponsor0]] = 'Calculation Worksheet'!$AV$6 &amp; "  /  " &amp; 'Calculation Worksheet'!$AV$7, 1, ""))</f>
        <v>0</v>
      </c>
      <c r="R149" s="63" t="str">
        <f>IF(StatusBranchGrade[[#This Row],[S1]] = 1, COUNTIF($Q$3:Q149, 1), "")</f>
        <v/>
      </c>
      <c r="S149" s="63" t="str">
        <f>IFERROR(INDEX(StatusBranchGrade[Rank/Grade], MATCH(ROWS($R$3:R149)-1, StatusBranchGrade[S2], 0)), "") &amp; ""</f>
        <v/>
      </c>
      <c r="T149" s="63">
        <f>--ISNUMBER(IF(StatusBranchGrade[[#This Row],[Spouse0]] = 'Calculation Worksheet'!$CG$6 &amp; "  /  " &amp; 'Calculation Worksheet'!$CG$7, 1, ""))</f>
        <v>0</v>
      </c>
      <c r="U149" s="63" t="str">
        <f>IF(StatusBranchGrade[[#This Row],[T1]] = 1, COUNTIF($T$3:T149, 1), "")</f>
        <v/>
      </c>
      <c r="V149" s="63" t="str">
        <f>IFERROR(INDEX(StatusBranchGrade[Rank/Grade], MATCH(ROWS($U$3:U149)-1, StatusBranchGrade[T2], 0)), "") &amp; ""</f>
        <v/>
      </c>
      <c r="W149" s="63"/>
    </row>
    <row r="150" spans="1:23" x14ac:dyDescent="0.25">
      <c r="A150">
        <v>4</v>
      </c>
      <c r="B150" t="s">
        <v>339</v>
      </c>
      <c r="C150" t="s">
        <v>182</v>
      </c>
      <c r="D150" t="s">
        <v>96</v>
      </c>
      <c r="E150" t="str">
        <f>IF(StatusBranchGrade[[#This Row],[Status]] = "CYS", "DoD", StatusBranchGrade[[#This Row],[Rank]] &amp; "")</f>
        <v>W-1</v>
      </c>
      <c r="F150" t="s">
        <v>96</v>
      </c>
      <c r="G150" t="str">
        <f>IF(StatusBranchGrade[[#This Row],[Rank]] = StatusBranchGrade[[#This Row],[Grade]], StatusBranchGrade[[#This Row],[Rank]], StatusBranchGrade[[#This Row],[Grade]] &amp; "/" &amp; StatusBranchGrade[[#This Row],[Rank]]) &amp; ""</f>
        <v>W-1</v>
      </c>
      <c r="H1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W-1</v>
      </c>
      <c r="I150" s="17" t="str">
        <f>SUBSTITUTE(SUBSTITUTE(SUBSTITUTE(StatusBranchGrade[[#This Row],[Status]] &amp; "  /  " &amp; StatusBranchGrade[[#This Row],[Branch]] &amp; ";", "  /  ;", ";"), "  /  ;", ";"), ";", "")</f>
        <v>Wounded Warrior--GC-approved  /  Navy</v>
      </c>
      <c r="J150">
        <v>12</v>
      </c>
      <c r="K150" s="17" t="str">
        <f>IF(LEFT(StatusBranchGrade[[#This Row],[Which]], 1) = "1", StatusBranchGrade[[#This Row],[Key]], "")</f>
        <v>Wounded Warrior--GC-approved  /  Navy  /  W-1</v>
      </c>
      <c r="L150" s="17" t="str">
        <f>IF(LEFT(StatusBranchGrade[[#This Row],[Which]], 1) = "1", StatusBranchGrade[[#This Row],[Key0]], "")</f>
        <v>Wounded Warrior--GC-approved  /  Navy</v>
      </c>
      <c r="M150" s="17" t="str">
        <f>IF(RIGHT(StatusBranchGrade[[#This Row],[Which]], 1) = "2", StatusBranchGrade[[#This Row],[Key]], "")</f>
        <v>Wounded Warrior--GC-approved  /  Navy  /  W-1</v>
      </c>
      <c r="N150" s="17" t="str">
        <f>IF(RIGHT(StatusBranchGrade[[#This Row],[Which]], 1) = "2", StatusBranchGrade[[#This Row],[Key0]], "")</f>
        <v>Wounded Warrior--GC-approved  /  Navy</v>
      </c>
      <c r="O150" s="17" t="s">
        <v>299</v>
      </c>
      <c r="P150" s="17"/>
      <c r="Q150" s="63">
        <f>--ISNUMBER(IF(StatusBranchGrade[[#This Row],[Sponsor0]] = 'Calculation Worksheet'!$AV$6 &amp; "  /  " &amp; 'Calculation Worksheet'!$AV$7, 1, ""))</f>
        <v>0</v>
      </c>
      <c r="R150" s="63" t="str">
        <f>IF(StatusBranchGrade[[#This Row],[S1]] = 1, COUNTIF($Q$3:Q150, 1), "")</f>
        <v/>
      </c>
      <c r="S150" s="63" t="str">
        <f>IFERROR(INDEX(StatusBranchGrade[Rank/Grade], MATCH(ROWS($R$3:R150)-1, StatusBranchGrade[S2], 0)), "") &amp; ""</f>
        <v/>
      </c>
      <c r="T150" s="63">
        <f>--ISNUMBER(IF(StatusBranchGrade[[#This Row],[Spouse0]] = 'Calculation Worksheet'!$CG$6 &amp; "  /  " &amp; 'Calculation Worksheet'!$CG$7, 1, ""))</f>
        <v>0</v>
      </c>
      <c r="U150" s="63" t="str">
        <f>IF(StatusBranchGrade[[#This Row],[T1]] = 1, COUNTIF($T$3:T150, 1), "")</f>
        <v/>
      </c>
      <c r="V150" s="63" t="str">
        <f>IFERROR(INDEX(StatusBranchGrade[Rank/Grade], MATCH(ROWS($U$3:U150)-1, StatusBranchGrade[T2], 0)), "") &amp; ""</f>
        <v/>
      </c>
      <c r="W150" s="63"/>
    </row>
    <row r="151" spans="1:23" x14ac:dyDescent="0.25">
      <c r="A151">
        <v>4</v>
      </c>
      <c r="B151" t="s">
        <v>339</v>
      </c>
      <c r="C151" t="s">
        <v>182</v>
      </c>
      <c r="D151" t="s">
        <v>95</v>
      </c>
      <c r="E151" t="str">
        <f>IF(StatusBranchGrade[[#This Row],[Status]] = "CYS", "DoD", StatusBranchGrade[[#This Row],[Rank]] &amp; "")</f>
        <v>W-2</v>
      </c>
      <c r="F151" t="s">
        <v>95</v>
      </c>
      <c r="G151" t="str">
        <f>IF(StatusBranchGrade[[#This Row],[Rank]] = StatusBranchGrade[[#This Row],[Grade]], StatusBranchGrade[[#This Row],[Rank]], StatusBranchGrade[[#This Row],[Grade]] &amp; "/" &amp; StatusBranchGrade[[#This Row],[Rank]]) &amp; ""</f>
        <v>W-2</v>
      </c>
      <c r="H1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W-2</v>
      </c>
      <c r="I151" s="17" t="str">
        <f>SUBSTITUTE(SUBSTITUTE(SUBSTITUTE(StatusBranchGrade[[#This Row],[Status]] &amp; "  /  " &amp; StatusBranchGrade[[#This Row],[Branch]] &amp; ";", "  /  ;", ";"), "  /  ;", ";"), ";", "")</f>
        <v>Wounded Warrior--GC-approved  /  Navy</v>
      </c>
      <c r="J151">
        <v>12</v>
      </c>
      <c r="K151" s="17" t="str">
        <f>IF(LEFT(StatusBranchGrade[[#This Row],[Which]], 1) = "1", StatusBranchGrade[[#This Row],[Key]], "")</f>
        <v>Wounded Warrior--GC-approved  /  Navy  /  W-2</v>
      </c>
      <c r="L151" s="17" t="str">
        <f>IF(LEFT(StatusBranchGrade[[#This Row],[Which]], 1) = "1", StatusBranchGrade[[#This Row],[Key0]], "")</f>
        <v>Wounded Warrior--GC-approved  /  Navy</v>
      </c>
      <c r="M151" s="17" t="str">
        <f>IF(RIGHT(StatusBranchGrade[[#This Row],[Which]], 1) = "2", StatusBranchGrade[[#This Row],[Key]], "")</f>
        <v>Wounded Warrior--GC-approved  /  Navy  /  W-2</v>
      </c>
      <c r="N151" s="17" t="str">
        <f>IF(RIGHT(StatusBranchGrade[[#This Row],[Which]], 1) = "2", StatusBranchGrade[[#This Row],[Key0]], "")</f>
        <v>Wounded Warrior--GC-approved  /  Navy</v>
      </c>
      <c r="O151" s="17" t="s">
        <v>299</v>
      </c>
      <c r="P151" s="17"/>
      <c r="Q151" s="63">
        <f>--ISNUMBER(IF(StatusBranchGrade[[#This Row],[Sponsor0]] = 'Calculation Worksheet'!$AV$6 &amp; "  /  " &amp; 'Calculation Worksheet'!$AV$7, 1, ""))</f>
        <v>0</v>
      </c>
      <c r="R151" s="63" t="str">
        <f>IF(StatusBranchGrade[[#This Row],[S1]] = 1, COUNTIF($Q$3:Q151, 1), "")</f>
        <v/>
      </c>
      <c r="S151" s="63" t="str">
        <f>IFERROR(INDEX(StatusBranchGrade[Rank/Grade], MATCH(ROWS($R$3:R151)-1, StatusBranchGrade[S2], 0)), "") &amp; ""</f>
        <v/>
      </c>
      <c r="T151" s="63">
        <f>--ISNUMBER(IF(StatusBranchGrade[[#This Row],[Spouse0]] = 'Calculation Worksheet'!$CG$6 &amp; "  /  " &amp; 'Calculation Worksheet'!$CG$7, 1, ""))</f>
        <v>0</v>
      </c>
      <c r="U151" s="63" t="str">
        <f>IF(StatusBranchGrade[[#This Row],[T1]] = 1, COUNTIF($T$3:T151, 1), "")</f>
        <v/>
      </c>
      <c r="V151" s="63" t="str">
        <f>IFERROR(INDEX(StatusBranchGrade[Rank/Grade], MATCH(ROWS($U$3:U151)-1, StatusBranchGrade[T2], 0)), "") &amp; ""</f>
        <v/>
      </c>
      <c r="W151" s="63"/>
    </row>
    <row r="152" spans="1:23" x14ac:dyDescent="0.25">
      <c r="A152">
        <v>4</v>
      </c>
      <c r="B152" t="s">
        <v>339</v>
      </c>
      <c r="C152" t="s">
        <v>182</v>
      </c>
      <c r="D152" t="s">
        <v>94</v>
      </c>
      <c r="E152" t="str">
        <f>IF(StatusBranchGrade[[#This Row],[Status]] = "CYS", "DoD", StatusBranchGrade[[#This Row],[Rank]] &amp; "")</f>
        <v>W-3</v>
      </c>
      <c r="F152" t="s">
        <v>94</v>
      </c>
      <c r="G152" t="str">
        <f>IF(StatusBranchGrade[[#This Row],[Rank]] = StatusBranchGrade[[#This Row],[Grade]], StatusBranchGrade[[#This Row],[Rank]], StatusBranchGrade[[#This Row],[Grade]] &amp; "/" &amp; StatusBranchGrade[[#This Row],[Rank]]) &amp; ""</f>
        <v>W-3</v>
      </c>
      <c r="H1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W-3</v>
      </c>
      <c r="I152" s="17" t="str">
        <f>SUBSTITUTE(SUBSTITUTE(SUBSTITUTE(StatusBranchGrade[[#This Row],[Status]] &amp; "  /  " &amp; StatusBranchGrade[[#This Row],[Branch]] &amp; ";", "  /  ;", ";"), "  /  ;", ";"), ";", "")</f>
        <v>Wounded Warrior--GC-approved  /  Navy</v>
      </c>
      <c r="J152">
        <v>12</v>
      </c>
      <c r="K152" s="17" t="str">
        <f>IF(LEFT(StatusBranchGrade[[#This Row],[Which]], 1) = "1", StatusBranchGrade[[#This Row],[Key]], "")</f>
        <v>Wounded Warrior--GC-approved  /  Navy  /  W-3</v>
      </c>
      <c r="L152" s="17" t="str">
        <f>IF(LEFT(StatusBranchGrade[[#This Row],[Which]], 1) = "1", StatusBranchGrade[[#This Row],[Key0]], "")</f>
        <v>Wounded Warrior--GC-approved  /  Navy</v>
      </c>
      <c r="M152" s="17" t="str">
        <f>IF(RIGHT(StatusBranchGrade[[#This Row],[Which]], 1) = "2", StatusBranchGrade[[#This Row],[Key]], "")</f>
        <v>Wounded Warrior--GC-approved  /  Navy  /  W-3</v>
      </c>
      <c r="N152" s="17" t="str">
        <f>IF(RIGHT(StatusBranchGrade[[#This Row],[Which]], 1) = "2", StatusBranchGrade[[#This Row],[Key0]], "")</f>
        <v>Wounded Warrior--GC-approved  /  Navy</v>
      </c>
      <c r="O152" s="17" t="s">
        <v>299</v>
      </c>
      <c r="P152" s="17"/>
      <c r="Q152" s="63">
        <f>--ISNUMBER(IF(StatusBranchGrade[[#This Row],[Sponsor0]] = 'Calculation Worksheet'!$AV$6 &amp; "  /  " &amp; 'Calculation Worksheet'!$AV$7, 1, ""))</f>
        <v>0</v>
      </c>
      <c r="R152" s="63" t="str">
        <f>IF(StatusBranchGrade[[#This Row],[S1]] = 1, COUNTIF($Q$3:Q152, 1), "")</f>
        <v/>
      </c>
      <c r="S152" s="63" t="str">
        <f>IFERROR(INDEX(StatusBranchGrade[Rank/Grade], MATCH(ROWS($R$3:R152)-1, StatusBranchGrade[S2], 0)), "") &amp; ""</f>
        <v/>
      </c>
      <c r="T152" s="63">
        <f>--ISNUMBER(IF(StatusBranchGrade[[#This Row],[Spouse0]] = 'Calculation Worksheet'!$CG$6 &amp; "  /  " &amp; 'Calculation Worksheet'!$CG$7, 1, ""))</f>
        <v>0</v>
      </c>
      <c r="U152" s="63" t="str">
        <f>IF(StatusBranchGrade[[#This Row],[T1]] = 1, COUNTIF($T$3:T152, 1), "")</f>
        <v/>
      </c>
      <c r="V152" s="63" t="str">
        <f>IFERROR(INDEX(StatusBranchGrade[Rank/Grade], MATCH(ROWS($U$3:U152)-1, StatusBranchGrade[T2], 0)), "") &amp; ""</f>
        <v/>
      </c>
      <c r="W152" s="63"/>
    </row>
    <row r="153" spans="1:23" x14ac:dyDescent="0.25">
      <c r="A153">
        <v>4</v>
      </c>
      <c r="B153" t="s">
        <v>339</v>
      </c>
      <c r="C153" t="s">
        <v>182</v>
      </c>
      <c r="D153" t="s">
        <v>93</v>
      </c>
      <c r="E153" t="str">
        <f>IF(StatusBranchGrade[[#This Row],[Status]] = "CYS", "DoD", StatusBranchGrade[[#This Row],[Rank]] &amp; "")</f>
        <v>W-4</v>
      </c>
      <c r="F153" t="s">
        <v>93</v>
      </c>
      <c r="G153" t="str">
        <f>IF(StatusBranchGrade[[#This Row],[Rank]] = StatusBranchGrade[[#This Row],[Grade]], StatusBranchGrade[[#This Row],[Rank]], StatusBranchGrade[[#This Row],[Grade]] &amp; "/" &amp; StatusBranchGrade[[#This Row],[Rank]]) &amp; ""</f>
        <v>W-4</v>
      </c>
      <c r="H1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Navy  /  W-4</v>
      </c>
      <c r="I153" s="17" t="str">
        <f>SUBSTITUTE(SUBSTITUTE(SUBSTITUTE(StatusBranchGrade[[#This Row],[Status]] &amp; "  /  " &amp; StatusBranchGrade[[#This Row],[Branch]] &amp; ";", "  /  ;", ";"), "  /  ;", ";"), ";", "")</f>
        <v>Wounded Warrior--GC-approved  /  Navy</v>
      </c>
      <c r="J153">
        <v>12</v>
      </c>
      <c r="K153" s="17" t="str">
        <f>IF(LEFT(StatusBranchGrade[[#This Row],[Which]], 1) = "1", StatusBranchGrade[[#This Row],[Key]], "")</f>
        <v>Wounded Warrior--GC-approved  /  Navy  /  W-4</v>
      </c>
      <c r="L153" s="17" t="str">
        <f>IF(LEFT(StatusBranchGrade[[#This Row],[Which]], 1) = "1", StatusBranchGrade[[#This Row],[Key0]], "")</f>
        <v>Wounded Warrior--GC-approved  /  Navy</v>
      </c>
      <c r="M153" s="17" t="str">
        <f>IF(RIGHT(StatusBranchGrade[[#This Row],[Which]], 1) = "2", StatusBranchGrade[[#This Row],[Key]], "")</f>
        <v>Wounded Warrior--GC-approved  /  Navy  /  W-4</v>
      </c>
      <c r="N153" s="17" t="str">
        <f>IF(RIGHT(StatusBranchGrade[[#This Row],[Which]], 1) = "2", StatusBranchGrade[[#This Row],[Key0]], "")</f>
        <v>Wounded Warrior--GC-approved  /  Navy</v>
      </c>
      <c r="O153" s="17" t="s">
        <v>299</v>
      </c>
      <c r="P153" s="17"/>
      <c r="Q153" s="63">
        <f>--ISNUMBER(IF(StatusBranchGrade[[#This Row],[Sponsor0]] = 'Calculation Worksheet'!$AV$6 &amp; "  /  " &amp; 'Calculation Worksheet'!$AV$7, 1, ""))</f>
        <v>0</v>
      </c>
      <c r="R153" s="63" t="str">
        <f>IF(StatusBranchGrade[[#This Row],[S1]] = 1, COUNTIF($Q$3:Q153, 1), "")</f>
        <v/>
      </c>
      <c r="S153" s="63" t="str">
        <f>IFERROR(INDEX(StatusBranchGrade[Rank/Grade], MATCH(ROWS($R$3:R153)-1, StatusBranchGrade[S2], 0)), "") &amp; ""</f>
        <v/>
      </c>
      <c r="T153" s="63">
        <f>--ISNUMBER(IF(StatusBranchGrade[[#This Row],[Spouse0]] = 'Calculation Worksheet'!$CG$6 &amp; "  /  " &amp; 'Calculation Worksheet'!$CG$7, 1, ""))</f>
        <v>0</v>
      </c>
      <c r="U153" s="63" t="str">
        <f>IF(StatusBranchGrade[[#This Row],[T1]] = 1, COUNTIF($T$3:T153, 1), "")</f>
        <v/>
      </c>
      <c r="V153" s="63" t="str">
        <f>IFERROR(INDEX(StatusBranchGrade[Rank/Grade], MATCH(ROWS($U$3:U153)-1, StatusBranchGrade[T2], 0)), "") &amp; ""</f>
        <v/>
      </c>
      <c r="W153" s="63"/>
    </row>
    <row r="154" spans="1:23" x14ac:dyDescent="0.25">
      <c r="A154">
        <v>4</v>
      </c>
      <c r="B154" t="s">
        <v>339</v>
      </c>
      <c r="C154" t="s">
        <v>185</v>
      </c>
      <c r="D154" t="s">
        <v>105</v>
      </c>
      <c r="E154" t="str">
        <f>IF(StatusBranchGrade[[#This Row],[Status]] = "CYS", "DoD", StatusBranchGrade[[#This Row],[Rank]] &amp; "")</f>
        <v>E-1</v>
      </c>
      <c r="F154" t="s">
        <v>105</v>
      </c>
      <c r="G154" t="str">
        <f>IF(StatusBranchGrade[[#This Row],[Rank]] = StatusBranchGrade[[#This Row],[Grade]], StatusBranchGrade[[#This Row],[Rank]], StatusBranchGrade[[#This Row],[Grade]] &amp; "/" &amp; StatusBranchGrade[[#This Row],[Rank]]) &amp; ""</f>
        <v>E-1</v>
      </c>
      <c r="H1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E-1</v>
      </c>
      <c r="I154" s="17" t="str">
        <f>SUBSTITUTE(SUBSTITUTE(SUBSTITUTE(StatusBranchGrade[[#This Row],[Status]] &amp; "  /  " &amp; StatusBranchGrade[[#This Row],[Branch]] &amp; ";", "  /  ;", ";"), "  /  ;", ";"), ";", "")</f>
        <v>Wounded Warrior--GC-approved  /  Space Force</v>
      </c>
      <c r="J154">
        <v>12</v>
      </c>
      <c r="K154" s="17" t="str">
        <f>IF(LEFT(StatusBranchGrade[[#This Row],[Which]], 1) = "1", StatusBranchGrade[[#This Row],[Key]], "")</f>
        <v>Wounded Warrior--GC-approved  /  Space Force  /  E-1</v>
      </c>
      <c r="L154" s="17" t="str">
        <f>IF(LEFT(StatusBranchGrade[[#This Row],[Which]], 1) = "1", StatusBranchGrade[[#This Row],[Key0]], "")</f>
        <v>Wounded Warrior--GC-approved  /  Space Force</v>
      </c>
      <c r="M154" s="17" t="str">
        <f>IF(RIGHT(StatusBranchGrade[[#This Row],[Which]], 1) = "2", StatusBranchGrade[[#This Row],[Key]], "")</f>
        <v>Wounded Warrior--GC-approved  /  Space Force  /  E-1</v>
      </c>
      <c r="N154" s="17" t="str">
        <f>IF(RIGHT(StatusBranchGrade[[#This Row],[Which]], 1) = "2", StatusBranchGrade[[#This Row],[Key0]], "")</f>
        <v>Wounded Warrior--GC-approved  /  Space Force</v>
      </c>
      <c r="O154" s="17" t="s">
        <v>299</v>
      </c>
      <c r="P154" s="17"/>
      <c r="Q154" s="63">
        <f>--ISNUMBER(IF(StatusBranchGrade[[#This Row],[Sponsor0]] = 'Calculation Worksheet'!$AV$6 &amp; "  /  " &amp; 'Calculation Worksheet'!$AV$7, 1, ""))</f>
        <v>0</v>
      </c>
      <c r="R154" s="63" t="str">
        <f>IF(StatusBranchGrade[[#This Row],[S1]] = 1, COUNTIF($Q$3:Q154, 1), "")</f>
        <v/>
      </c>
      <c r="S154" s="63" t="str">
        <f>IFERROR(INDEX(StatusBranchGrade[Rank/Grade], MATCH(ROWS($R$3:R154)-1, StatusBranchGrade[S2], 0)), "") &amp; ""</f>
        <v/>
      </c>
      <c r="T154" s="63">
        <f>--ISNUMBER(IF(StatusBranchGrade[[#This Row],[Spouse0]] = 'Calculation Worksheet'!$CG$6 &amp; "  /  " &amp; 'Calculation Worksheet'!$CG$7, 1, ""))</f>
        <v>0</v>
      </c>
      <c r="U154" s="63" t="str">
        <f>IF(StatusBranchGrade[[#This Row],[T1]] = 1, COUNTIF($T$3:T154, 1), "")</f>
        <v/>
      </c>
      <c r="V154" s="63" t="str">
        <f>IFERROR(INDEX(StatusBranchGrade[Rank/Grade], MATCH(ROWS($U$3:U154)-1, StatusBranchGrade[T2], 0)), "") &amp; ""</f>
        <v/>
      </c>
      <c r="W154" s="63"/>
    </row>
    <row r="155" spans="1:23" x14ac:dyDescent="0.25">
      <c r="A155">
        <v>4</v>
      </c>
      <c r="B155" t="s">
        <v>339</v>
      </c>
      <c r="C155" t="s">
        <v>185</v>
      </c>
      <c r="D155" t="s">
        <v>104</v>
      </c>
      <c r="E155" t="str">
        <f>IF(StatusBranchGrade[[#This Row],[Status]] = "CYS", "DoD", StatusBranchGrade[[#This Row],[Rank]] &amp; "")</f>
        <v>E-2</v>
      </c>
      <c r="F155" t="s">
        <v>104</v>
      </c>
      <c r="G155" t="str">
        <f>IF(StatusBranchGrade[[#This Row],[Rank]] = StatusBranchGrade[[#This Row],[Grade]], StatusBranchGrade[[#This Row],[Rank]], StatusBranchGrade[[#This Row],[Grade]] &amp; "/" &amp; StatusBranchGrade[[#This Row],[Rank]]) &amp; ""</f>
        <v>E-2</v>
      </c>
      <c r="H1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E-2</v>
      </c>
      <c r="I155" s="17" t="str">
        <f>SUBSTITUTE(SUBSTITUTE(SUBSTITUTE(StatusBranchGrade[[#This Row],[Status]] &amp; "  /  " &amp; StatusBranchGrade[[#This Row],[Branch]] &amp; ";", "  /  ;", ";"), "  /  ;", ";"), ";", "")</f>
        <v>Wounded Warrior--GC-approved  /  Space Force</v>
      </c>
      <c r="J155">
        <v>12</v>
      </c>
      <c r="K155" s="17" t="str">
        <f>IF(LEFT(StatusBranchGrade[[#This Row],[Which]], 1) = "1", StatusBranchGrade[[#This Row],[Key]], "")</f>
        <v>Wounded Warrior--GC-approved  /  Space Force  /  E-2</v>
      </c>
      <c r="L155" s="17" t="str">
        <f>IF(LEFT(StatusBranchGrade[[#This Row],[Which]], 1) = "1", StatusBranchGrade[[#This Row],[Key0]], "")</f>
        <v>Wounded Warrior--GC-approved  /  Space Force</v>
      </c>
      <c r="M155" s="17" t="str">
        <f>IF(RIGHT(StatusBranchGrade[[#This Row],[Which]], 1) = "2", StatusBranchGrade[[#This Row],[Key]], "")</f>
        <v>Wounded Warrior--GC-approved  /  Space Force  /  E-2</v>
      </c>
      <c r="N155" s="17" t="str">
        <f>IF(RIGHT(StatusBranchGrade[[#This Row],[Which]], 1) = "2", StatusBranchGrade[[#This Row],[Key0]], "")</f>
        <v>Wounded Warrior--GC-approved  /  Space Force</v>
      </c>
      <c r="O155" s="17" t="s">
        <v>299</v>
      </c>
      <c r="P155" s="17"/>
      <c r="Q155" s="63">
        <f>--ISNUMBER(IF(StatusBranchGrade[[#This Row],[Sponsor0]] = 'Calculation Worksheet'!$AV$6 &amp; "  /  " &amp; 'Calculation Worksheet'!$AV$7, 1, ""))</f>
        <v>0</v>
      </c>
      <c r="R155" s="63" t="str">
        <f>IF(StatusBranchGrade[[#This Row],[S1]] = 1, COUNTIF($Q$3:Q155, 1), "")</f>
        <v/>
      </c>
      <c r="S155" s="63" t="str">
        <f>IFERROR(INDEX(StatusBranchGrade[Rank/Grade], MATCH(ROWS($R$3:R155)-1, StatusBranchGrade[S2], 0)), "") &amp; ""</f>
        <v/>
      </c>
      <c r="T155" s="63">
        <f>--ISNUMBER(IF(StatusBranchGrade[[#This Row],[Spouse0]] = 'Calculation Worksheet'!$CG$6 &amp; "  /  " &amp; 'Calculation Worksheet'!$CG$7, 1, ""))</f>
        <v>0</v>
      </c>
      <c r="U155" s="63" t="str">
        <f>IF(StatusBranchGrade[[#This Row],[T1]] = 1, COUNTIF($T$3:T155, 1), "")</f>
        <v/>
      </c>
      <c r="V155" s="63" t="str">
        <f>IFERROR(INDEX(StatusBranchGrade[Rank/Grade], MATCH(ROWS($U$3:U155)-1, StatusBranchGrade[T2], 0)), "") &amp; ""</f>
        <v/>
      </c>
      <c r="W155" s="63"/>
    </row>
    <row r="156" spans="1:23" x14ac:dyDescent="0.25">
      <c r="A156">
        <v>4</v>
      </c>
      <c r="B156" t="s">
        <v>339</v>
      </c>
      <c r="C156" t="s">
        <v>185</v>
      </c>
      <c r="D156" t="s">
        <v>103</v>
      </c>
      <c r="E156" t="str">
        <f>IF(StatusBranchGrade[[#This Row],[Status]] = "CYS", "DoD", StatusBranchGrade[[#This Row],[Rank]] &amp; "")</f>
        <v>E-3</v>
      </c>
      <c r="F156" t="s">
        <v>103</v>
      </c>
      <c r="G156" t="str">
        <f>IF(StatusBranchGrade[[#This Row],[Rank]] = StatusBranchGrade[[#This Row],[Grade]], StatusBranchGrade[[#This Row],[Rank]], StatusBranchGrade[[#This Row],[Grade]] &amp; "/" &amp; StatusBranchGrade[[#This Row],[Rank]]) &amp; ""</f>
        <v>E-3</v>
      </c>
      <c r="H1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E-3</v>
      </c>
      <c r="I156" s="17" t="str">
        <f>SUBSTITUTE(SUBSTITUTE(SUBSTITUTE(StatusBranchGrade[[#This Row],[Status]] &amp; "  /  " &amp; StatusBranchGrade[[#This Row],[Branch]] &amp; ";", "  /  ;", ";"), "  /  ;", ";"), ";", "")</f>
        <v>Wounded Warrior--GC-approved  /  Space Force</v>
      </c>
      <c r="J156">
        <v>12</v>
      </c>
      <c r="K156" s="17" t="str">
        <f>IF(LEFT(StatusBranchGrade[[#This Row],[Which]], 1) = "1", StatusBranchGrade[[#This Row],[Key]], "")</f>
        <v>Wounded Warrior--GC-approved  /  Space Force  /  E-3</v>
      </c>
      <c r="L156" s="17" t="str">
        <f>IF(LEFT(StatusBranchGrade[[#This Row],[Which]], 1) = "1", StatusBranchGrade[[#This Row],[Key0]], "")</f>
        <v>Wounded Warrior--GC-approved  /  Space Force</v>
      </c>
      <c r="M156" s="17" t="str">
        <f>IF(RIGHT(StatusBranchGrade[[#This Row],[Which]], 1) = "2", StatusBranchGrade[[#This Row],[Key]], "")</f>
        <v>Wounded Warrior--GC-approved  /  Space Force  /  E-3</v>
      </c>
      <c r="N156" s="17" t="str">
        <f>IF(RIGHT(StatusBranchGrade[[#This Row],[Which]], 1) = "2", StatusBranchGrade[[#This Row],[Key0]], "")</f>
        <v>Wounded Warrior--GC-approved  /  Space Force</v>
      </c>
      <c r="O156" s="17" t="s">
        <v>299</v>
      </c>
      <c r="P156" s="17"/>
      <c r="Q156" s="63">
        <f>--ISNUMBER(IF(StatusBranchGrade[[#This Row],[Sponsor0]] = 'Calculation Worksheet'!$AV$6 &amp; "  /  " &amp; 'Calculation Worksheet'!$AV$7, 1, ""))</f>
        <v>0</v>
      </c>
      <c r="R156" s="63" t="str">
        <f>IF(StatusBranchGrade[[#This Row],[S1]] = 1, COUNTIF($Q$3:Q156, 1), "")</f>
        <v/>
      </c>
      <c r="S156" s="63" t="str">
        <f>IFERROR(INDEX(StatusBranchGrade[Rank/Grade], MATCH(ROWS($R$3:R156)-1, StatusBranchGrade[S2], 0)), "") &amp; ""</f>
        <v/>
      </c>
      <c r="T156" s="63">
        <f>--ISNUMBER(IF(StatusBranchGrade[[#This Row],[Spouse0]] = 'Calculation Worksheet'!$CG$6 &amp; "  /  " &amp; 'Calculation Worksheet'!$CG$7, 1, ""))</f>
        <v>0</v>
      </c>
      <c r="U156" s="63" t="str">
        <f>IF(StatusBranchGrade[[#This Row],[T1]] = 1, COUNTIF($T$3:T156, 1), "")</f>
        <v/>
      </c>
      <c r="V156" s="63" t="str">
        <f>IFERROR(INDEX(StatusBranchGrade[Rank/Grade], MATCH(ROWS($U$3:U156)-1, StatusBranchGrade[T2], 0)), "") &amp; ""</f>
        <v/>
      </c>
      <c r="W156" s="63"/>
    </row>
    <row r="157" spans="1:23" x14ac:dyDescent="0.25">
      <c r="A157">
        <v>4</v>
      </c>
      <c r="B157" t="s">
        <v>339</v>
      </c>
      <c r="C157" t="s">
        <v>185</v>
      </c>
      <c r="D157" t="s">
        <v>102</v>
      </c>
      <c r="E157" t="str">
        <f>IF(StatusBranchGrade[[#This Row],[Status]] = "CYS", "DoD", StatusBranchGrade[[#This Row],[Rank]] &amp; "")</f>
        <v>E-4</v>
      </c>
      <c r="F157" t="s">
        <v>102</v>
      </c>
      <c r="G157" t="str">
        <f>IF(StatusBranchGrade[[#This Row],[Rank]] = StatusBranchGrade[[#This Row],[Grade]], StatusBranchGrade[[#This Row],[Rank]], StatusBranchGrade[[#This Row],[Grade]] &amp; "/" &amp; StatusBranchGrade[[#This Row],[Rank]]) &amp; ""</f>
        <v>E-4</v>
      </c>
      <c r="H1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E-4</v>
      </c>
      <c r="I157" s="17" t="str">
        <f>SUBSTITUTE(SUBSTITUTE(SUBSTITUTE(StatusBranchGrade[[#This Row],[Status]] &amp; "  /  " &amp; StatusBranchGrade[[#This Row],[Branch]] &amp; ";", "  /  ;", ";"), "  /  ;", ";"), ";", "")</f>
        <v>Wounded Warrior--GC-approved  /  Space Force</v>
      </c>
      <c r="J157">
        <v>12</v>
      </c>
      <c r="K157" s="17" t="str">
        <f>IF(LEFT(StatusBranchGrade[[#This Row],[Which]], 1) = "1", StatusBranchGrade[[#This Row],[Key]], "")</f>
        <v>Wounded Warrior--GC-approved  /  Space Force  /  E-4</v>
      </c>
      <c r="L157" s="17" t="str">
        <f>IF(LEFT(StatusBranchGrade[[#This Row],[Which]], 1) = "1", StatusBranchGrade[[#This Row],[Key0]], "")</f>
        <v>Wounded Warrior--GC-approved  /  Space Force</v>
      </c>
      <c r="M157" s="17" t="str">
        <f>IF(RIGHT(StatusBranchGrade[[#This Row],[Which]], 1) = "2", StatusBranchGrade[[#This Row],[Key]], "")</f>
        <v>Wounded Warrior--GC-approved  /  Space Force  /  E-4</v>
      </c>
      <c r="N157" s="17" t="str">
        <f>IF(RIGHT(StatusBranchGrade[[#This Row],[Which]], 1) = "2", StatusBranchGrade[[#This Row],[Key0]], "")</f>
        <v>Wounded Warrior--GC-approved  /  Space Force</v>
      </c>
      <c r="O157" s="17" t="s">
        <v>299</v>
      </c>
      <c r="P157" s="17"/>
      <c r="Q157" s="63">
        <f>--ISNUMBER(IF(StatusBranchGrade[[#This Row],[Sponsor0]] = 'Calculation Worksheet'!$AV$6 &amp; "  /  " &amp; 'Calculation Worksheet'!$AV$7, 1, ""))</f>
        <v>0</v>
      </c>
      <c r="R157" s="63" t="str">
        <f>IF(StatusBranchGrade[[#This Row],[S1]] = 1, COUNTIF($Q$3:Q157, 1), "")</f>
        <v/>
      </c>
      <c r="S157" s="63" t="str">
        <f>IFERROR(INDEX(StatusBranchGrade[Rank/Grade], MATCH(ROWS($R$3:R157)-1, StatusBranchGrade[S2], 0)), "") &amp; ""</f>
        <v/>
      </c>
      <c r="T157" s="63">
        <f>--ISNUMBER(IF(StatusBranchGrade[[#This Row],[Spouse0]] = 'Calculation Worksheet'!$CG$6 &amp; "  /  " &amp; 'Calculation Worksheet'!$CG$7, 1, ""))</f>
        <v>0</v>
      </c>
      <c r="U157" s="63" t="str">
        <f>IF(StatusBranchGrade[[#This Row],[T1]] = 1, COUNTIF($T$3:T157, 1), "")</f>
        <v/>
      </c>
      <c r="V157" s="63" t="str">
        <f>IFERROR(INDEX(StatusBranchGrade[Rank/Grade], MATCH(ROWS($U$3:U157)-1, StatusBranchGrade[T2], 0)), "") &amp; ""</f>
        <v/>
      </c>
      <c r="W157" s="63"/>
    </row>
    <row r="158" spans="1:23" x14ac:dyDescent="0.25">
      <c r="A158">
        <v>4</v>
      </c>
      <c r="B158" t="s">
        <v>339</v>
      </c>
      <c r="C158" t="s">
        <v>185</v>
      </c>
      <c r="D158" t="s">
        <v>101</v>
      </c>
      <c r="E158" t="str">
        <f>IF(StatusBranchGrade[[#This Row],[Status]] = "CYS", "DoD", StatusBranchGrade[[#This Row],[Rank]] &amp; "")</f>
        <v>E-5</v>
      </c>
      <c r="F158" t="s">
        <v>101</v>
      </c>
      <c r="G158" t="str">
        <f>IF(StatusBranchGrade[[#This Row],[Rank]] = StatusBranchGrade[[#This Row],[Grade]], StatusBranchGrade[[#This Row],[Rank]], StatusBranchGrade[[#This Row],[Grade]] &amp; "/" &amp; StatusBranchGrade[[#This Row],[Rank]]) &amp; ""</f>
        <v>E-5</v>
      </c>
      <c r="H1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E-5</v>
      </c>
      <c r="I158" s="17" t="str">
        <f>SUBSTITUTE(SUBSTITUTE(SUBSTITUTE(StatusBranchGrade[[#This Row],[Status]] &amp; "  /  " &amp; StatusBranchGrade[[#This Row],[Branch]] &amp; ";", "  /  ;", ";"), "  /  ;", ";"), ";", "")</f>
        <v>Wounded Warrior--GC-approved  /  Space Force</v>
      </c>
      <c r="J158">
        <v>12</v>
      </c>
      <c r="K158" s="17" t="str">
        <f>IF(LEFT(StatusBranchGrade[[#This Row],[Which]], 1) = "1", StatusBranchGrade[[#This Row],[Key]], "")</f>
        <v>Wounded Warrior--GC-approved  /  Space Force  /  E-5</v>
      </c>
      <c r="L158" s="17" t="str">
        <f>IF(LEFT(StatusBranchGrade[[#This Row],[Which]], 1) = "1", StatusBranchGrade[[#This Row],[Key0]], "")</f>
        <v>Wounded Warrior--GC-approved  /  Space Force</v>
      </c>
      <c r="M158" s="17" t="str">
        <f>IF(RIGHT(StatusBranchGrade[[#This Row],[Which]], 1) = "2", StatusBranchGrade[[#This Row],[Key]], "")</f>
        <v>Wounded Warrior--GC-approved  /  Space Force  /  E-5</v>
      </c>
      <c r="N158" s="17" t="str">
        <f>IF(RIGHT(StatusBranchGrade[[#This Row],[Which]], 1) = "2", StatusBranchGrade[[#This Row],[Key0]], "")</f>
        <v>Wounded Warrior--GC-approved  /  Space Force</v>
      </c>
      <c r="O158" s="17" t="s">
        <v>299</v>
      </c>
      <c r="P158" s="17"/>
      <c r="Q158" s="63">
        <f>--ISNUMBER(IF(StatusBranchGrade[[#This Row],[Sponsor0]] = 'Calculation Worksheet'!$AV$6 &amp; "  /  " &amp; 'Calculation Worksheet'!$AV$7, 1, ""))</f>
        <v>0</v>
      </c>
      <c r="R158" s="63" t="str">
        <f>IF(StatusBranchGrade[[#This Row],[S1]] = 1, COUNTIF($Q$3:Q158, 1), "")</f>
        <v/>
      </c>
      <c r="S158" s="63" t="str">
        <f>IFERROR(INDEX(StatusBranchGrade[Rank/Grade], MATCH(ROWS($R$3:R158)-1, StatusBranchGrade[S2], 0)), "") &amp; ""</f>
        <v/>
      </c>
      <c r="T158" s="63">
        <f>--ISNUMBER(IF(StatusBranchGrade[[#This Row],[Spouse0]] = 'Calculation Worksheet'!$CG$6 &amp; "  /  " &amp; 'Calculation Worksheet'!$CG$7, 1, ""))</f>
        <v>0</v>
      </c>
      <c r="U158" s="63" t="str">
        <f>IF(StatusBranchGrade[[#This Row],[T1]] = 1, COUNTIF($T$3:T158, 1), "")</f>
        <v/>
      </c>
      <c r="V158" s="63" t="str">
        <f>IFERROR(INDEX(StatusBranchGrade[Rank/Grade], MATCH(ROWS($U$3:U158)-1, StatusBranchGrade[T2], 0)), "") &amp; ""</f>
        <v/>
      </c>
      <c r="W158" s="63"/>
    </row>
    <row r="159" spans="1:23" x14ac:dyDescent="0.25">
      <c r="A159">
        <v>4</v>
      </c>
      <c r="B159" t="s">
        <v>339</v>
      </c>
      <c r="C159" t="s">
        <v>185</v>
      </c>
      <c r="D159" t="s">
        <v>100</v>
      </c>
      <c r="E159" t="str">
        <f>IF(StatusBranchGrade[[#This Row],[Status]] = "CYS", "DoD", StatusBranchGrade[[#This Row],[Rank]] &amp; "")</f>
        <v>E-6</v>
      </c>
      <c r="F159" t="s">
        <v>100</v>
      </c>
      <c r="G159" t="str">
        <f>IF(StatusBranchGrade[[#This Row],[Rank]] = StatusBranchGrade[[#This Row],[Grade]], StatusBranchGrade[[#This Row],[Rank]], StatusBranchGrade[[#This Row],[Grade]] &amp; "/" &amp; StatusBranchGrade[[#This Row],[Rank]]) &amp; ""</f>
        <v>E-6</v>
      </c>
      <c r="H1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E-6</v>
      </c>
      <c r="I159" s="17" t="str">
        <f>SUBSTITUTE(SUBSTITUTE(SUBSTITUTE(StatusBranchGrade[[#This Row],[Status]] &amp; "  /  " &amp; StatusBranchGrade[[#This Row],[Branch]] &amp; ";", "  /  ;", ";"), "  /  ;", ";"), ";", "")</f>
        <v>Wounded Warrior--GC-approved  /  Space Force</v>
      </c>
      <c r="J159">
        <v>12</v>
      </c>
      <c r="K159" s="17" t="str">
        <f>IF(LEFT(StatusBranchGrade[[#This Row],[Which]], 1) = "1", StatusBranchGrade[[#This Row],[Key]], "")</f>
        <v>Wounded Warrior--GC-approved  /  Space Force  /  E-6</v>
      </c>
      <c r="L159" s="17" t="str">
        <f>IF(LEFT(StatusBranchGrade[[#This Row],[Which]], 1) = "1", StatusBranchGrade[[#This Row],[Key0]], "")</f>
        <v>Wounded Warrior--GC-approved  /  Space Force</v>
      </c>
      <c r="M159" s="17" t="str">
        <f>IF(RIGHT(StatusBranchGrade[[#This Row],[Which]], 1) = "2", StatusBranchGrade[[#This Row],[Key]], "")</f>
        <v>Wounded Warrior--GC-approved  /  Space Force  /  E-6</v>
      </c>
      <c r="N159" s="17" t="str">
        <f>IF(RIGHT(StatusBranchGrade[[#This Row],[Which]], 1) = "2", StatusBranchGrade[[#This Row],[Key0]], "")</f>
        <v>Wounded Warrior--GC-approved  /  Space Force</v>
      </c>
      <c r="O159" s="17" t="s">
        <v>299</v>
      </c>
      <c r="P159" s="17"/>
      <c r="Q159" s="63">
        <f>--ISNUMBER(IF(StatusBranchGrade[[#This Row],[Sponsor0]] = 'Calculation Worksheet'!$AV$6 &amp; "  /  " &amp; 'Calculation Worksheet'!$AV$7, 1, ""))</f>
        <v>0</v>
      </c>
      <c r="R159" s="63" t="str">
        <f>IF(StatusBranchGrade[[#This Row],[S1]] = 1, COUNTIF($Q$3:Q159, 1), "")</f>
        <v/>
      </c>
      <c r="S159" s="63" t="str">
        <f>IFERROR(INDEX(StatusBranchGrade[Rank/Grade], MATCH(ROWS($R$3:R159)-1, StatusBranchGrade[S2], 0)), "") &amp; ""</f>
        <v/>
      </c>
      <c r="T159" s="63">
        <f>--ISNUMBER(IF(StatusBranchGrade[[#This Row],[Spouse0]] = 'Calculation Worksheet'!$CG$6 &amp; "  /  " &amp; 'Calculation Worksheet'!$CG$7, 1, ""))</f>
        <v>0</v>
      </c>
      <c r="U159" s="63" t="str">
        <f>IF(StatusBranchGrade[[#This Row],[T1]] = 1, COUNTIF($T$3:T159, 1), "")</f>
        <v/>
      </c>
      <c r="V159" s="63" t="str">
        <f>IFERROR(INDEX(StatusBranchGrade[Rank/Grade], MATCH(ROWS($U$3:U159)-1, StatusBranchGrade[T2], 0)), "") &amp; ""</f>
        <v/>
      </c>
      <c r="W159" s="63"/>
    </row>
    <row r="160" spans="1:23" x14ac:dyDescent="0.25">
      <c r="A160">
        <v>4</v>
      </c>
      <c r="B160" t="s">
        <v>339</v>
      </c>
      <c r="C160" t="s">
        <v>185</v>
      </c>
      <c r="D160" t="s">
        <v>99</v>
      </c>
      <c r="E160" t="str">
        <f>IF(StatusBranchGrade[[#This Row],[Status]] = "CYS", "DoD", StatusBranchGrade[[#This Row],[Rank]] &amp; "")</f>
        <v>E-7</v>
      </c>
      <c r="F160" t="s">
        <v>99</v>
      </c>
      <c r="G160" t="str">
        <f>IF(StatusBranchGrade[[#This Row],[Rank]] = StatusBranchGrade[[#This Row],[Grade]], StatusBranchGrade[[#This Row],[Rank]], StatusBranchGrade[[#This Row],[Grade]] &amp; "/" &amp; StatusBranchGrade[[#This Row],[Rank]]) &amp; ""</f>
        <v>E-7</v>
      </c>
      <c r="H1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E-7</v>
      </c>
      <c r="I160" s="17" t="str">
        <f>SUBSTITUTE(SUBSTITUTE(SUBSTITUTE(StatusBranchGrade[[#This Row],[Status]] &amp; "  /  " &amp; StatusBranchGrade[[#This Row],[Branch]] &amp; ";", "  /  ;", ";"), "  /  ;", ";"), ";", "")</f>
        <v>Wounded Warrior--GC-approved  /  Space Force</v>
      </c>
      <c r="J160">
        <v>12</v>
      </c>
      <c r="K160" s="17" t="str">
        <f>IF(LEFT(StatusBranchGrade[[#This Row],[Which]], 1) = "1", StatusBranchGrade[[#This Row],[Key]], "")</f>
        <v>Wounded Warrior--GC-approved  /  Space Force  /  E-7</v>
      </c>
      <c r="L160" s="17" t="str">
        <f>IF(LEFT(StatusBranchGrade[[#This Row],[Which]], 1) = "1", StatusBranchGrade[[#This Row],[Key0]], "")</f>
        <v>Wounded Warrior--GC-approved  /  Space Force</v>
      </c>
      <c r="M160" s="17" t="str">
        <f>IF(RIGHT(StatusBranchGrade[[#This Row],[Which]], 1) = "2", StatusBranchGrade[[#This Row],[Key]], "")</f>
        <v>Wounded Warrior--GC-approved  /  Space Force  /  E-7</v>
      </c>
      <c r="N160" s="17" t="str">
        <f>IF(RIGHT(StatusBranchGrade[[#This Row],[Which]], 1) = "2", StatusBranchGrade[[#This Row],[Key0]], "")</f>
        <v>Wounded Warrior--GC-approved  /  Space Force</v>
      </c>
      <c r="O160" s="17" t="s">
        <v>299</v>
      </c>
      <c r="P160" s="17"/>
      <c r="Q160" s="63">
        <f>--ISNUMBER(IF(StatusBranchGrade[[#This Row],[Sponsor0]] = 'Calculation Worksheet'!$AV$6 &amp; "  /  " &amp; 'Calculation Worksheet'!$AV$7, 1, ""))</f>
        <v>0</v>
      </c>
      <c r="R160" s="63" t="str">
        <f>IF(StatusBranchGrade[[#This Row],[S1]] = 1, COUNTIF($Q$3:Q160, 1), "")</f>
        <v/>
      </c>
      <c r="S160" s="63" t="str">
        <f>IFERROR(INDEX(StatusBranchGrade[Rank/Grade], MATCH(ROWS($R$3:R160)-1, StatusBranchGrade[S2], 0)), "") &amp; ""</f>
        <v/>
      </c>
      <c r="T160" s="63">
        <f>--ISNUMBER(IF(StatusBranchGrade[[#This Row],[Spouse0]] = 'Calculation Worksheet'!$CG$6 &amp; "  /  " &amp; 'Calculation Worksheet'!$CG$7, 1, ""))</f>
        <v>0</v>
      </c>
      <c r="U160" s="63" t="str">
        <f>IF(StatusBranchGrade[[#This Row],[T1]] = 1, COUNTIF($T$3:T160, 1), "")</f>
        <v/>
      </c>
      <c r="V160" s="63" t="str">
        <f>IFERROR(INDEX(StatusBranchGrade[Rank/Grade], MATCH(ROWS($U$3:U160)-1, StatusBranchGrade[T2], 0)), "") &amp; ""</f>
        <v/>
      </c>
      <c r="W160" s="63"/>
    </row>
    <row r="161" spans="1:23" x14ac:dyDescent="0.25">
      <c r="A161">
        <v>4</v>
      </c>
      <c r="B161" t="s">
        <v>339</v>
      </c>
      <c r="C161" t="s">
        <v>185</v>
      </c>
      <c r="D161" t="s">
        <v>98</v>
      </c>
      <c r="E161" t="str">
        <f>IF(StatusBranchGrade[[#This Row],[Status]] = "CYS", "DoD", StatusBranchGrade[[#This Row],[Rank]] &amp; "")</f>
        <v>E-8</v>
      </c>
      <c r="F161" t="s">
        <v>98</v>
      </c>
      <c r="G161" t="str">
        <f>IF(StatusBranchGrade[[#This Row],[Rank]] = StatusBranchGrade[[#This Row],[Grade]], StatusBranchGrade[[#This Row],[Rank]], StatusBranchGrade[[#This Row],[Grade]] &amp; "/" &amp; StatusBranchGrade[[#This Row],[Rank]]) &amp; ""</f>
        <v>E-8</v>
      </c>
      <c r="H1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E-8</v>
      </c>
      <c r="I161" s="17" t="str">
        <f>SUBSTITUTE(SUBSTITUTE(SUBSTITUTE(StatusBranchGrade[[#This Row],[Status]] &amp; "  /  " &amp; StatusBranchGrade[[#This Row],[Branch]] &amp; ";", "  /  ;", ";"), "  /  ;", ";"), ";", "")</f>
        <v>Wounded Warrior--GC-approved  /  Space Force</v>
      </c>
      <c r="J161">
        <v>12</v>
      </c>
      <c r="K161" s="17" t="str">
        <f>IF(LEFT(StatusBranchGrade[[#This Row],[Which]], 1) = "1", StatusBranchGrade[[#This Row],[Key]], "")</f>
        <v>Wounded Warrior--GC-approved  /  Space Force  /  E-8</v>
      </c>
      <c r="L161" s="17" t="str">
        <f>IF(LEFT(StatusBranchGrade[[#This Row],[Which]], 1) = "1", StatusBranchGrade[[#This Row],[Key0]], "")</f>
        <v>Wounded Warrior--GC-approved  /  Space Force</v>
      </c>
      <c r="M161" s="17" t="str">
        <f>IF(RIGHT(StatusBranchGrade[[#This Row],[Which]], 1) = "2", StatusBranchGrade[[#This Row],[Key]], "")</f>
        <v>Wounded Warrior--GC-approved  /  Space Force  /  E-8</v>
      </c>
      <c r="N161" s="17" t="str">
        <f>IF(RIGHT(StatusBranchGrade[[#This Row],[Which]], 1) = "2", StatusBranchGrade[[#This Row],[Key0]], "")</f>
        <v>Wounded Warrior--GC-approved  /  Space Force</v>
      </c>
      <c r="O161" s="17" t="s">
        <v>299</v>
      </c>
      <c r="P161" s="17"/>
      <c r="Q161" s="63">
        <f>--ISNUMBER(IF(StatusBranchGrade[[#This Row],[Sponsor0]] = 'Calculation Worksheet'!$AV$6 &amp; "  /  " &amp; 'Calculation Worksheet'!$AV$7, 1, ""))</f>
        <v>0</v>
      </c>
      <c r="R161" s="63" t="str">
        <f>IF(StatusBranchGrade[[#This Row],[S1]] = 1, COUNTIF($Q$3:Q161, 1), "")</f>
        <v/>
      </c>
      <c r="S161" s="63" t="str">
        <f>IFERROR(INDEX(StatusBranchGrade[Rank/Grade], MATCH(ROWS($R$3:R161)-1, StatusBranchGrade[S2], 0)), "") &amp; ""</f>
        <v/>
      </c>
      <c r="T161" s="63">
        <f>--ISNUMBER(IF(StatusBranchGrade[[#This Row],[Spouse0]] = 'Calculation Worksheet'!$CG$6 &amp; "  /  " &amp; 'Calculation Worksheet'!$CG$7, 1, ""))</f>
        <v>0</v>
      </c>
      <c r="U161" s="63" t="str">
        <f>IF(StatusBranchGrade[[#This Row],[T1]] = 1, COUNTIF($T$3:T161, 1), "")</f>
        <v/>
      </c>
      <c r="V161" s="63" t="str">
        <f>IFERROR(INDEX(StatusBranchGrade[Rank/Grade], MATCH(ROWS($U$3:U161)-1, StatusBranchGrade[T2], 0)), "") &amp; ""</f>
        <v/>
      </c>
      <c r="W161" s="63"/>
    </row>
    <row r="162" spans="1:23" x14ac:dyDescent="0.25">
      <c r="A162">
        <v>4</v>
      </c>
      <c r="B162" t="s">
        <v>339</v>
      </c>
      <c r="C162" t="s">
        <v>185</v>
      </c>
      <c r="D162" t="s">
        <v>97</v>
      </c>
      <c r="E162" t="str">
        <f>IF(StatusBranchGrade[[#This Row],[Status]] = "CYS", "DoD", StatusBranchGrade[[#This Row],[Rank]] &amp; "")</f>
        <v>E-9</v>
      </c>
      <c r="F162" t="s">
        <v>97</v>
      </c>
      <c r="G162" t="str">
        <f>IF(StatusBranchGrade[[#This Row],[Rank]] = StatusBranchGrade[[#This Row],[Grade]], StatusBranchGrade[[#This Row],[Rank]], StatusBranchGrade[[#This Row],[Grade]] &amp; "/" &amp; StatusBranchGrade[[#This Row],[Rank]]) &amp; ""</f>
        <v>E-9</v>
      </c>
      <c r="H1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E-9</v>
      </c>
      <c r="I162" s="17" t="str">
        <f>SUBSTITUTE(SUBSTITUTE(SUBSTITUTE(StatusBranchGrade[[#This Row],[Status]] &amp; "  /  " &amp; StatusBranchGrade[[#This Row],[Branch]] &amp; ";", "  /  ;", ";"), "  /  ;", ";"), ";", "")</f>
        <v>Wounded Warrior--GC-approved  /  Space Force</v>
      </c>
      <c r="J162">
        <v>12</v>
      </c>
      <c r="K162" s="17" t="str">
        <f>IF(LEFT(StatusBranchGrade[[#This Row],[Which]], 1) = "1", StatusBranchGrade[[#This Row],[Key]], "")</f>
        <v>Wounded Warrior--GC-approved  /  Space Force  /  E-9</v>
      </c>
      <c r="L162" s="17" t="str">
        <f>IF(LEFT(StatusBranchGrade[[#This Row],[Which]], 1) = "1", StatusBranchGrade[[#This Row],[Key0]], "")</f>
        <v>Wounded Warrior--GC-approved  /  Space Force</v>
      </c>
      <c r="M162" s="17" t="str">
        <f>IF(RIGHT(StatusBranchGrade[[#This Row],[Which]], 1) = "2", StatusBranchGrade[[#This Row],[Key]], "")</f>
        <v>Wounded Warrior--GC-approved  /  Space Force  /  E-9</v>
      </c>
      <c r="N162" s="17" t="str">
        <f>IF(RIGHT(StatusBranchGrade[[#This Row],[Which]], 1) = "2", StatusBranchGrade[[#This Row],[Key0]], "")</f>
        <v>Wounded Warrior--GC-approved  /  Space Force</v>
      </c>
      <c r="O162" s="17" t="s">
        <v>299</v>
      </c>
      <c r="P162" s="17"/>
      <c r="Q162" s="63">
        <f>--ISNUMBER(IF(StatusBranchGrade[[#This Row],[Sponsor0]] = 'Calculation Worksheet'!$AV$6 &amp; "  /  " &amp; 'Calculation Worksheet'!$AV$7, 1, ""))</f>
        <v>0</v>
      </c>
      <c r="R162" s="63" t="str">
        <f>IF(StatusBranchGrade[[#This Row],[S1]] = 1, COUNTIF($Q$3:Q162, 1), "")</f>
        <v/>
      </c>
      <c r="S162" s="63" t="str">
        <f>IFERROR(INDEX(StatusBranchGrade[Rank/Grade], MATCH(ROWS($R$3:R162)-1, StatusBranchGrade[S2], 0)), "") &amp; ""</f>
        <v/>
      </c>
      <c r="T162" s="63">
        <f>--ISNUMBER(IF(StatusBranchGrade[[#This Row],[Spouse0]] = 'Calculation Worksheet'!$CG$6 &amp; "  /  " &amp; 'Calculation Worksheet'!$CG$7, 1, ""))</f>
        <v>0</v>
      </c>
      <c r="U162" s="63" t="str">
        <f>IF(StatusBranchGrade[[#This Row],[T1]] = 1, COUNTIF($T$3:T162, 1), "")</f>
        <v/>
      </c>
      <c r="V162" s="63" t="str">
        <f>IFERROR(INDEX(StatusBranchGrade[Rank/Grade], MATCH(ROWS($U$3:U162)-1, StatusBranchGrade[T2], 0)), "") &amp; ""</f>
        <v/>
      </c>
      <c r="W162" s="63"/>
    </row>
    <row r="163" spans="1:23" x14ac:dyDescent="0.25">
      <c r="A163">
        <v>4</v>
      </c>
      <c r="B163" t="s">
        <v>339</v>
      </c>
      <c r="C163" t="s">
        <v>185</v>
      </c>
      <c r="D163" t="s">
        <v>91</v>
      </c>
      <c r="E163" t="str">
        <f>IF(StatusBranchGrade[[#This Row],[Status]] = "CYS", "DoD", StatusBranchGrade[[#This Row],[Rank]] &amp; "")</f>
        <v>O-1</v>
      </c>
      <c r="F163" t="s">
        <v>91</v>
      </c>
      <c r="G163" t="str">
        <f>IF(StatusBranchGrade[[#This Row],[Rank]] = StatusBranchGrade[[#This Row],[Grade]], StatusBranchGrade[[#This Row],[Rank]], StatusBranchGrade[[#This Row],[Grade]] &amp; "/" &amp; StatusBranchGrade[[#This Row],[Rank]]) &amp; ""</f>
        <v>O-1</v>
      </c>
      <c r="H1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O-1</v>
      </c>
      <c r="I163" s="17" t="str">
        <f>SUBSTITUTE(SUBSTITUTE(SUBSTITUTE(StatusBranchGrade[[#This Row],[Status]] &amp; "  /  " &amp; StatusBranchGrade[[#This Row],[Branch]] &amp; ";", "  /  ;", ";"), "  /  ;", ";"), ";", "")</f>
        <v>Wounded Warrior--GC-approved  /  Space Force</v>
      </c>
      <c r="J163">
        <v>12</v>
      </c>
      <c r="K163" s="17" t="str">
        <f>IF(LEFT(StatusBranchGrade[[#This Row],[Which]], 1) = "1", StatusBranchGrade[[#This Row],[Key]], "")</f>
        <v>Wounded Warrior--GC-approved  /  Space Force  /  O-1</v>
      </c>
      <c r="L163" s="17" t="str">
        <f>IF(LEFT(StatusBranchGrade[[#This Row],[Which]], 1) = "1", StatusBranchGrade[[#This Row],[Key0]], "")</f>
        <v>Wounded Warrior--GC-approved  /  Space Force</v>
      </c>
      <c r="M163" s="17" t="str">
        <f>IF(RIGHT(StatusBranchGrade[[#This Row],[Which]], 1) = "2", StatusBranchGrade[[#This Row],[Key]], "")</f>
        <v>Wounded Warrior--GC-approved  /  Space Force  /  O-1</v>
      </c>
      <c r="N163" s="17" t="str">
        <f>IF(RIGHT(StatusBranchGrade[[#This Row],[Which]], 1) = "2", StatusBranchGrade[[#This Row],[Key0]], "")</f>
        <v>Wounded Warrior--GC-approved  /  Space Force</v>
      </c>
      <c r="O163" s="17" t="s">
        <v>299</v>
      </c>
      <c r="P163" s="17"/>
      <c r="Q163" s="63">
        <f>--ISNUMBER(IF(StatusBranchGrade[[#This Row],[Sponsor0]] = 'Calculation Worksheet'!$AV$6 &amp; "  /  " &amp; 'Calculation Worksheet'!$AV$7, 1, ""))</f>
        <v>0</v>
      </c>
      <c r="R163" s="63" t="str">
        <f>IF(StatusBranchGrade[[#This Row],[S1]] = 1, COUNTIF($Q$3:Q163, 1), "")</f>
        <v/>
      </c>
      <c r="S163" s="63" t="str">
        <f>IFERROR(INDEX(StatusBranchGrade[Rank/Grade], MATCH(ROWS($R$3:R163)-1, StatusBranchGrade[S2], 0)), "") &amp; ""</f>
        <v/>
      </c>
      <c r="T163" s="63">
        <f>--ISNUMBER(IF(StatusBranchGrade[[#This Row],[Spouse0]] = 'Calculation Worksheet'!$CG$6 &amp; "  /  " &amp; 'Calculation Worksheet'!$CG$7, 1, ""))</f>
        <v>0</v>
      </c>
      <c r="U163" s="63" t="str">
        <f>IF(StatusBranchGrade[[#This Row],[T1]] = 1, COUNTIF($T$3:T163, 1), "")</f>
        <v/>
      </c>
      <c r="V163" s="63" t="str">
        <f>IFERROR(INDEX(StatusBranchGrade[Rank/Grade], MATCH(ROWS($U$3:U163)-1, StatusBranchGrade[T2], 0)), "") &amp; ""</f>
        <v/>
      </c>
      <c r="W163" s="63"/>
    </row>
    <row r="164" spans="1:23" x14ac:dyDescent="0.25">
      <c r="A164">
        <v>4</v>
      </c>
      <c r="B164" t="s">
        <v>339</v>
      </c>
      <c r="C164" t="s">
        <v>185</v>
      </c>
      <c r="D164" s="75" t="s">
        <v>10</v>
      </c>
      <c r="E164" s="75" t="str">
        <f>IF(StatusBranchGrade[[#This Row],[Status]] = "CYS", "DoD", StatusBranchGrade[[#This Row],[Rank]] &amp; "")</f>
        <v>O1E</v>
      </c>
      <c r="F164" s="75" t="s">
        <v>91</v>
      </c>
      <c r="G164" s="75" t="str">
        <f>IF(StatusBranchGrade[[#This Row],[Rank]] = StatusBranchGrade[[#This Row],[Grade]], StatusBranchGrade[[#This Row],[Rank]], StatusBranchGrade[[#This Row],[Grade]] &amp; "/" &amp; StatusBranchGrade[[#This Row],[Rank]]) &amp; ""</f>
        <v>O-1/O1E</v>
      </c>
      <c r="H1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O-1/O1E</v>
      </c>
      <c r="I164" s="17" t="str">
        <f>SUBSTITUTE(SUBSTITUTE(SUBSTITUTE(StatusBranchGrade[[#This Row],[Status]] &amp; "  /  " &amp; StatusBranchGrade[[#This Row],[Branch]] &amp; ";", "  /  ;", ";"), "  /  ;", ";"), ";", "")</f>
        <v>Wounded Warrior--GC-approved  /  Space Force</v>
      </c>
      <c r="J164">
        <v>12</v>
      </c>
      <c r="K164" s="17" t="str">
        <f>IF(LEFT(StatusBranchGrade[[#This Row],[Which]], 1) = "1", StatusBranchGrade[[#This Row],[Key]], "")</f>
        <v>Wounded Warrior--GC-approved  /  Space Force  /  O-1/O1E</v>
      </c>
      <c r="L164" s="17" t="str">
        <f>IF(LEFT(StatusBranchGrade[[#This Row],[Which]], 1) = "1", StatusBranchGrade[[#This Row],[Key0]], "")</f>
        <v>Wounded Warrior--GC-approved  /  Space Force</v>
      </c>
      <c r="M164" s="17" t="str">
        <f>IF(RIGHT(StatusBranchGrade[[#This Row],[Which]], 1) = "2", StatusBranchGrade[[#This Row],[Key]], "")</f>
        <v>Wounded Warrior--GC-approved  /  Space Force  /  O-1/O1E</v>
      </c>
      <c r="N164" s="17" t="str">
        <f>IF(RIGHT(StatusBranchGrade[[#This Row],[Which]], 1) = "2", StatusBranchGrade[[#This Row],[Key0]], "")</f>
        <v>Wounded Warrior--GC-approved  /  Space Force</v>
      </c>
      <c r="O164" s="17" t="s">
        <v>299</v>
      </c>
      <c r="P164" s="17"/>
      <c r="Q164" s="63">
        <f>--ISNUMBER(IF(StatusBranchGrade[[#This Row],[Sponsor0]] = 'Calculation Worksheet'!$AV$6 &amp; "  /  " &amp; 'Calculation Worksheet'!$AV$7, 1, ""))</f>
        <v>0</v>
      </c>
      <c r="R164" s="63" t="str">
        <f>IF(StatusBranchGrade[[#This Row],[S1]] = 1, COUNTIF($Q$3:Q164, 1), "")</f>
        <v/>
      </c>
      <c r="S164" s="63" t="str">
        <f>IFERROR(INDEX(StatusBranchGrade[Rank/Grade], MATCH(ROWS($R$3:R164)-1, StatusBranchGrade[S2], 0)), "") &amp; ""</f>
        <v/>
      </c>
      <c r="T164" s="63">
        <f>--ISNUMBER(IF(StatusBranchGrade[[#This Row],[Spouse0]] = 'Calculation Worksheet'!$CG$6 &amp; "  /  " &amp; 'Calculation Worksheet'!$CG$7, 1, ""))</f>
        <v>0</v>
      </c>
      <c r="U164" s="63" t="str">
        <f>IF(StatusBranchGrade[[#This Row],[T1]] = 1, COUNTIF($T$3:T164, 1), "")</f>
        <v/>
      </c>
      <c r="V164" s="63" t="str">
        <f>IFERROR(INDEX(StatusBranchGrade[Rank/Grade], MATCH(ROWS($U$3:U164)-1, StatusBranchGrade[T2], 0)), "") &amp; ""</f>
        <v/>
      </c>
      <c r="W164" s="63"/>
    </row>
    <row r="165" spans="1:23" x14ac:dyDescent="0.25">
      <c r="A165">
        <v>4</v>
      </c>
      <c r="B165" t="s">
        <v>339</v>
      </c>
      <c r="C165" t="s">
        <v>185</v>
      </c>
      <c r="D165" t="s">
        <v>82</v>
      </c>
      <c r="E165" t="str">
        <f>IF(StatusBranchGrade[[#This Row],[Status]] = "CYS", "DoD", StatusBranchGrade[[#This Row],[Rank]] &amp; "")</f>
        <v>O-10</v>
      </c>
      <c r="F165" t="s">
        <v>82</v>
      </c>
      <c r="G165" t="str">
        <f>IF(StatusBranchGrade[[#This Row],[Rank]] = StatusBranchGrade[[#This Row],[Grade]], StatusBranchGrade[[#This Row],[Rank]], StatusBranchGrade[[#This Row],[Grade]] &amp; "/" &amp; StatusBranchGrade[[#This Row],[Rank]]) &amp; ""</f>
        <v>O-10</v>
      </c>
      <c r="H1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O-10</v>
      </c>
      <c r="I165" s="17" t="str">
        <f>SUBSTITUTE(SUBSTITUTE(SUBSTITUTE(StatusBranchGrade[[#This Row],[Status]] &amp; "  /  " &amp; StatusBranchGrade[[#This Row],[Branch]] &amp; ";", "  /  ;", ";"), "  /  ;", ";"), ";", "")</f>
        <v>Wounded Warrior--GC-approved  /  Space Force</v>
      </c>
      <c r="J165">
        <v>12</v>
      </c>
      <c r="K165" s="17" t="str">
        <f>IF(LEFT(StatusBranchGrade[[#This Row],[Which]], 1) = "1", StatusBranchGrade[[#This Row],[Key]], "")</f>
        <v>Wounded Warrior--GC-approved  /  Space Force  /  O-10</v>
      </c>
      <c r="L165" s="17" t="str">
        <f>IF(LEFT(StatusBranchGrade[[#This Row],[Which]], 1) = "1", StatusBranchGrade[[#This Row],[Key0]], "")</f>
        <v>Wounded Warrior--GC-approved  /  Space Force</v>
      </c>
      <c r="M165" s="17" t="str">
        <f>IF(RIGHT(StatusBranchGrade[[#This Row],[Which]], 1) = "2", StatusBranchGrade[[#This Row],[Key]], "")</f>
        <v>Wounded Warrior--GC-approved  /  Space Force  /  O-10</v>
      </c>
      <c r="N165" s="17" t="str">
        <f>IF(RIGHT(StatusBranchGrade[[#This Row],[Which]], 1) = "2", StatusBranchGrade[[#This Row],[Key0]], "")</f>
        <v>Wounded Warrior--GC-approved  /  Space Force</v>
      </c>
      <c r="O165" s="17" t="s">
        <v>299</v>
      </c>
      <c r="P165" s="17"/>
      <c r="Q165" s="63">
        <f>--ISNUMBER(IF(StatusBranchGrade[[#This Row],[Sponsor0]] = 'Calculation Worksheet'!$AV$6 &amp; "  /  " &amp; 'Calculation Worksheet'!$AV$7, 1, ""))</f>
        <v>0</v>
      </c>
      <c r="R165" s="63" t="str">
        <f>IF(StatusBranchGrade[[#This Row],[S1]] = 1, COUNTIF($Q$3:Q165, 1), "")</f>
        <v/>
      </c>
      <c r="S165" s="63" t="str">
        <f>IFERROR(INDEX(StatusBranchGrade[Rank/Grade], MATCH(ROWS($R$3:R165)-1, StatusBranchGrade[S2], 0)), "") &amp; ""</f>
        <v/>
      </c>
      <c r="T165" s="63">
        <f>--ISNUMBER(IF(StatusBranchGrade[[#This Row],[Spouse0]] = 'Calculation Worksheet'!$CG$6 &amp; "  /  " &amp; 'Calculation Worksheet'!$CG$7, 1, ""))</f>
        <v>0</v>
      </c>
      <c r="U165" s="63" t="str">
        <f>IF(StatusBranchGrade[[#This Row],[T1]] = 1, COUNTIF($T$3:T165, 1), "")</f>
        <v/>
      </c>
      <c r="V165" s="63" t="str">
        <f>IFERROR(INDEX(StatusBranchGrade[Rank/Grade], MATCH(ROWS($U$3:U165)-1, StatusBranchGrade[T2], 0)), "") &amp; ""</f>
        <v/>
      </c>
      <c r="W165" s="63"/>
    </row>
    <row r="166" spans="1:23" x14ac:dyDescent="0.25">
      <c r="A166">
        <v>4</v>
      </c>
      <c r="B166" t="s">
        <v>339</v>
      </c>
      <c r="C166" t="s">
        <v>185</v>
      </c>
      <c r="D166" t="s">
        <v>90</v>
      </c>
      <c r="E166" t="str">
        <f>IF(StatusBranchGrade[[#This Row],[Status]] = "CYS", "DoD", StatusBranchGrade[[#This Row],[Rank]] &amp; "")</f>
        <v>O-2</v>
      </c>
      <c r="F166" t="s">
        <v>90</v>
      </c>
      <c r="G166" t="str">
        <f>IF(StatusBranchGrade[[#This Row],[Rank]] = StatusBranchGrade[[#This Row],[Grade]], StatusBranchGrade[[#This Row],[Rank]], StatusBranchGrade[[#This Row],[Grade]] &amp; "/" &amp; StatusBranchGrade[[#This Row],[Rank]]) &amp; ""</f>
        <v>O-2</v>
      </c>
      <c r="H1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O-2</v>
      </c>
      <c r="I166" s="17" t="str">
        <f>SUBSTITUTE(SUBSTITUTE(SUBSTITUTE(StatusBranchGrade[[#This Row],[Status]] &amp; "  /  " &amp; StatusBranchGrade[[#This Row],[Branch]] &amp; ";", "  /  ;", ";"), "  /  ;", ";"), ";", "")</f>
        <v>Wounded Warrior--GC-approved  /  Space Force</v>
      </c>
      <c r="J166">
        <v>12</v>
      </c>
      <c r="K166" s="17" t="str">
        <f>IF(LEFT(StatusBranchGrade[[#This Row],[Which]], 1) = "1", StatusBranchGrade[[#This Row],[Key]], "")</f>
        <v>Wounded Warrior--GC-approved  /  Space Force  /  O-2</v>
      </c>
      <c r="L166" s="17" t="str">
        <f>IF(LEFT(StatusBranchGrade[[#This Row],[Which]], 1) = "1", StatusBranchGrade[[#This Row],[Key0]], "")</f>
        <v>Wounded Warrior--GC-approved  /  Space Force</v>
      </c>
      <c r="M166" s="17" t="str">
        <f>IF(RIGHT(StatusBranchGrade[[#This Row],[Which]], 1) = "2", StatusBranchGrade[[#This Row],[Key]], "")</f>
        <v>Wounded Warrior--GC-approved  /  Space Force  /  O-2</v>
      </c>
      <c r="N166" s="17" t="str">
        <f>IF(RIGHT(StatusBranchGrade[[#This Row],[Which]], 1) = "2", StatusBranchGrade[[#This Row],[Key0]], "")</f>
        <v>Wounded Warrior--GC-approved  /  Space Force</v>
      </c>
      <c r="O166" s="17" t="s">
        <v>299</v>
      </c>
      <c r="P166" s="17"/>
      <c r="Q166" s="63">
        <f>--ISNUMBER(IF(StatusBranchGrade[[#This Row],[Sponsor0]] = 'Calculation Worksheet'!$AV$6 &amp; "  /  " &amp; 'Calculation Worksheet'!$AV$7, 1, ""))</f>
        <v>0</v>
      </c>
      <c r="R166" s="63" t="str">
        <f>IF(StatusBranchGrade[[#This Row],[S1]] = 1, COUNTIF($Q$3:Q166, 1), "")</f>
        <v/>
      </c>
      <c r="S166" s="63" t="str">
        <f>IFERROR(INDEX(StatusBranchGrade[Rank/Grade], MATCH(ROWS($R$3:R166)-1, StatusBranchGrade[S2], 0)), "") &amp; ""</f>
        <v/>
      </c>
      <c r="T166" s="63">
        <f>--ISNUMBER(IF(StatusBranchGrade[[#This Row],[Spouse0]] = 'Calculation Worksheet'!$CG$6 &amp; "  /  " &amp; 'Calculation Worksheet'!$CG$7, 1, ""))</f>
        <v>0</v>
      </c>
      <c r="U166" s="63" t="str">
        <f>IF(StatusBranchGrade[[#This Row],[T1]] = 1, COUNTIF($T$3:T166, 1), "")</f>
        <v/>
      </c>
      <c r="V166" s="63" t="str">
        <f>IFERROR(INDEX(StatusBranchGrade[Rank/Grade], MATCH(ROWS($U$3:U166)-1, StatusBranchGrade[T2], 0)), "") &amp; ""</f>
        <v/>
      </c>
      <c r="W166" s="63"/>
    </row>
    <row r="167" spans="1:23" x14ac:dyDescent="0.25">
      <c r="A167">
        <v>4</v>
      </c>
      <c r="B167" t="s">
        <v>339</v>
      </c>
      <c r="C167" t="s">
        <v>185</v>
      </c>
      <c r="D167" s="75" t="s">
        <v>11</v>
      </c>
      <c r="E167" s="75" t="str">
        <f>IF(StatusBranchGrade[[#This Row],[Status]] = "CYS", "DoD", StatusBranchGrade[[#This Row],[Rank]] &amp; "")</f>
        <v>O2E</v>
      </c>
      <c r="F167" s="75" t="s">
        <v>90</v>
      </c>
      <c r="G167" s="75" t="str">
        <f>IF(StatusBranchGrade[[#This Row],[Rank]] = StatusBranchGrade[[#This Row],[Grade]], StatusBranchGrade[[#This Row],[Rank]], StatusBranchGrade[[#This Row],[Grade]] &amp; "/" &amp; StatusBranchGrade[[#This Row],[Rank]]) &amp; ""</f>
        <v>O-2/O2E</v>
      </c>
      <c r="H1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O-2/O2E</v>
      </c>
      <c r="I167" s="17" t="str">
        <f>SUBSTITUTE(SUBSTITUTE(SUBSTITUTE(StatusBranchGrade[[#This Row],[Status]] &amp; "  /  " &amp; StatusBranchGrade[[#This Row],[Branch]] &amp; ";", "  /  ;", ";"), "  /  ;", ";"), ";", "")</f>
        <v>Wounded Warrior--GC-approved  /  Space Force</v>
      </c>
      <c r="J167">
        <v>12</v>
      </c>
      <c r="K167" s="17" t="str">
        <f>IF(LEFT(StatusBranchGrade[[#This Row],[Which]], 1) = "1", StatusBranchGrade[[#This Row],[Key]], "")</f>
        <v>Wounded Warrior--GC-approved  /  Space Force  /  O-2/O2E</v>
      </c>
      <c r="L167" s="17" t="str">
        <f>IF(LEFT(StatusBranchGrade[[#This Row],[Which]], 1) = "1", StatusBranchGrade[[#This Row],[Key0]], "")</f>
        <v>Wounded Warrior--GC-approved  /  Space Force</v>
      </c>
      <c r="M167" s="17" t="str">
        <f>IF(RIGHT(StatusBranchGrade[[#This Row],[Which]], 1) = "2", StatusBranchGrade[[#This Row],[Key]], "")</f>
        <v>Wounded Warrior--GC-approved  /  Space Force  /  O-2/O2E</v>
      </c>
      <c r="N167" s="17" t="str">
        <f>IF(RIGHT(StatusBranchGrade[[#This Row],[Which]], 1) = "2", StatusBranchGrade[[#This Row],[Key0]], "")</f>
        <v>Wounded Warrior--GC-approved  /  Space Force</v>
      </c>
      <c r="O167" s="17" t="s">
        <v>299</v>
      </c>
      <c r="P167" s="17"/>
      <c r="Q167" s="63">
        <f>--ISNUMBER(IF(StatusBranchGrade[[#This Row],[Sponsor0]] = 'Calculation Worksheet'!$AV$6 &amp; "  /  " &amp; 'Calculation Worksheet'!$AV$7, 1, ""))</f>
        <v>0</v>
      </c>
      <c r="R167" s="63" t="str">
        <f>IF(StatusBranchGrade[[#This Row],[S1]] = 1, COUNTIF($Q$3:Q167, 1), "")</f>
        <v/>
      </c>
      <c r="S167" s="63" t="str">
        <f>IFERROR(INDEX(StatusBranchGrade[Rank/Grade], MATCH(ROWS($R$3:R167)-1, StatusBranchGrade[S2], 0)), "") &amp; ""</f>
        <v/>
      </c>
      <c r="T167" s="63">
        <f>--ISNUMBER(IF(StatusBranchGrade[[#This Row],[Spouse0]] = 'Calculation Worksheet'!$CG$6 &amp; "  /  " &amp; 'Calculation Worksheet'!$CG$7, 1, ""))</f>
        <v>0</v>
      </c>
      <c r="U167" s="63" t="str">
        <f>IF(StatusBranchGrade[[#This Row],[T1]] = 1, COUNTIF($T$3:T167, 1), "")</f>
        <v/>
      </c>
      <c r="V167" s="63" t="str">
        <f>IFERROR(INDEX(StatusBranchGrade[Rank/Grade], MATCH(ROWS($U$3:U167)-1, StatusBranchGrade[T2], 0)), "") &amp; ""</f>
        <v/>
      </c>
      <c r="W167" s="63"/>
    </row>
    <row r="168" spans="1:23" x14ac:dyDescent="0.25">
      <c r="A168">
        <v>4</v>
      </c>
      <c r="B168" t="s">
        <v>339</v>
      </c>
      <c r="C168" t="s">
        <v>185</v>
      </c>
      <c r="D168" t="s">
        <v>89</v>
      </c>
      <c r="E168" t="str">
        <f>IF(StatusBranchGrade[[#This Row],[Status]] = "CYS", "DoD", StatusBranchGrade[[#This Row],[Rank]] &amp; "")</f>
        <v>O-3</v>
      </c>
      <c r="F168" t="s">
        <v>89</v>
      </c>
      <c r="G168" t="str">
        <f>IF(StatusBranchGrade[[#This Row],[Rank]] = StatusBranchGrade[[#This Row],[Grade]], StatusBranchGrade[[#This Row],[Rank]], StatusBranchGrade[[#This Row],[Grade]] &amp; "/" &amp; StatusBranchGrade[[#This Row],[Rank]]) &amp; ""</f>
        <v>O-3</v>
      </c>
      <c r="H1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O-3</v>
      </c>
      <c r="I168" s="17" t="str">
        <f>SUBSTITUTE(SUBSTITUTE(SUBSTITUTE(StatusBranchGrade[[#This Row],[Status]] &amp; "  /  " &amp; StatusBranchGrade[[#This Row],[Branch]] &amp; ";", "  /  ;", ";"), "  /  ;", ";"), ";", "")</f>
        <v>Wounded Warrior--GC-approved  /  Space Force</v>
      </c>
      <c r="J168">
        <v>12</v>
      </c>
      <c r="K168" s="17" t="str">
        <f>IF(LEFT(StatusBranchGrade[[#This Row],[Which]], 1) = "1", StatusBranchGrade[[#This Row],[Key]], "")</f>
        <v>Wounded Warrior--GC-approved  /  Space Force  /  O-3</v>
      </c>
      <c r="L168" s="17" t="str">
        <f>IF(LEFT(StatusBranchGrade[[#This Row],[Which]], 1) = "1", StatusBranchGrade[[#This Row],[Key0]], "")</f>
        <v>Wounded Warrior--GC-approved  /  Space Force</v>
      </c>
      <c r="M168" s="17" t="str">
        <f>IF(RIGHT(StatusBranchGrade[[#This Row],[Which]], 1) = "2", StatusBranchGrade[[#This Row],[Key]], "")</f>
        <v>Wounded Warrior--GC-approved  /  Space Force  /  O-3</v>
      </c>
      <c r="N168" s="17" t="str">
        <f>IF(RIGHT(StatusBranchGrade[[#This Row],[Which]], 1) = "2", StatusBranchGrade[[#This Row],[Key0]], "")</f>
        <v>Wounded Warrior--GC-approved  /  Space Force</v>
      </c>
      <c r="O168" s="17" t="s">
        <v>299</v>
      </c>
      <c r="P168" s="17"/>
      <c r="Q168" s="63">
        <f>--ISNUMBER(IF(StatusBranchGrade[[#This Row],[Sponsor0]] = 'Calculation Worksheet'!$AV$6 &amp; "  /  " &amp; 'Calculation Worksheet'!$AV$7, 1, ""))</f>
        <v>0</v>
      </c>
      <c r="R168" s="63" t="str">
        <f>IF(StatusBranchGrade[[#This Row],[S1]] = 1, COUNTIF($Q$3:Q168, 1), "")</f>
        <v/>
      </c>
      <c r="S168" s="63" t="str">
        <f>IFERROR(INDEX(StatusBranchGrade[Rank/Grade], MATCH(ROWS($R$3:R168)-1, StatusBranchGrade[S2], 0)), "") &amp; ""</f>
        <v/>
      </c>
      <c r="T168" s="63">
        <f>--ISNUMBER(IF(StatusBranchGrade[[#This Row],[Spouse0]] = 'Calculation Worksheet'!$CG$6 &amp; "  /  " &amp; 'Calculation Worksheet'!$CG$7, 1, ""))</f>
        <v>0</v>
      </c>
      <c r="U168" s="63" t="str">
        <f>IF(StatusBranchGrade[[#This Row],[T1]] = 1, COUNTIF($T$3:T168, 1), "")</f>
        <v/>
      </c>
      <c r="V168" s="63" t="str">
        <f>IFERROR(INDEX(StatusBranchGrade[Rank/Grade], MATCH(ROWS($U$3:U168)-1, StatusBranchGrade[T2], 0)), "") &amp; ""</f>
        <v/>
      </c>
      <c r="W168" s="63"/>
    </row>
    <row r="169" spans="1:23" x14ac:dyDescent="0.25">
      <c r="A169">
        <v>4</v>
      </c>
      <c r="B169" t="s">
        <v>339</v>
      </c>
      <c r="C169" t="s">
        <v>185</v>
      </c>
      <c r="D169" s="75" t="s">
        <v>12</v>
      </c>
      <c r="E169" s="75" t="str">
        <f>IF(StatusBranchGrade[[#This Row],[Status]] = "CYS", "DoD", StatusBranchGrade[[#This Row],[Rank]] &amp; "")</f>
        <v>O3E</v>
      </c>
      <c r="F169" s="75" t="s">
        <v>89</v>
      </c>
      <c r="G169" s="75" t="str">
        <f>IF(StatusBranchGrade[[#This Row],[Rank]] = StatusBranchGrade[[#This Row],[Grade]], StatusBranchGrade[[#This Row],[Rank]], StatusBranchGrade[[#This Row],[Grade]] &amp; "/" &amp; StatusBranchGrade[[#This Row],[Rank]]) &amp; ""</f>
        <v>O-3/O3E</v>
      </c>
      <c r="H1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O-3/O3E</v>
      </c>
      <c r="I169" s="17" t="str">
        <f>SUBSTITUTE(SUBSTITUTE(SUBSTITUTE(StatusBranchGrade[[#This Row],[Status]] &amp; "  /  " &amp; StatusBranchGrade[[#This Row],[Branch]] &amp; ";", "  /  ;", ";"), "  /  ;", ";"), ";", "")</f>
        <v>Wounded Warrior--GC-approved  /  Space Force</v>
      </c>
      <c r="J169">
        <v>12</v>
      </c>
      <c r="K169" s="17" t="str">
        <f>IF(LEFT(StatusBranchGrade[[#This Row],[Which]], 1) = "1", StatusBranchGrade[[#This Row],[Key]], "")</f>
        <v>Wounded Warrior--GC-approved  /  Space Force  /  O-3/O3E</v>
      </c>
      <c r="L169" s="17" t="str">
        <f>IF(LEFT(StatusBranchGrade[[#This Row],[Which]], 1) = "1", StatusBranchGrade[[#This Row],[Key0]], "")</f>
        <v>Wounded Warrior--GC-approved  /  Space Force</v>
      </c>
      <c r="M169" s="17" t="str">
        <f>IF(RIGHT(StatusBranchGrade[[#This Row],[Which]], 1) = "2", StatusBranchGrade[[#This Row],[Key]], "")</f>
        <v>Wounded Warrior--GC-approved  /  Space Force  /  O-3/O3E</v>
      </c>
      <c r="N169" s="17" t="str">
        <f>IF(RIGHT(StatusBranchGrade[[#This Row],[Which]], 1) = "2", StatusBranchGrade[[#This Row],[Key0]], "")</f>
        <v>Wounded Warrior--GC-approved  /  Space Force</v>
      </c>
      <c r="O169" s="17" t="s">
        <v>299</v>
      </c>
      <c r="P169" s="17"/>
      <c r="Q169" s="63">
        <f>--ISNUMBER(IF(StatusBranchGrade[[#This Row],[Sponsor0]] = 'Calculation Worksheet'!$AV$6 &amp; "  /  " &amp; 'Calculation Worksheet'!$AV$7, 1, ""))</f>
        <v>0</v>
      </c>
      <c r="R169" s="63" t="str">
        <f>IF(StatusBranchGrade[[#This Row],[S1]] = 1, COUNTIF($Q$3:Q169, 1), "")</f>
        <v/>
      </c>
      <c r="S169" s="63" t="str">
        <f>IFERROR(INDEX(StatusBranchGrade[Rank/Grade], MATCH(ROWS($R$3:R169)-1, StatusBranchGrade[S2], 0)), "") &amp; ""</f>
        <v/>
      </c>
      <c r="T169" s="63">
        <f>--ISNUMBER(IF(StatusBranchGrade[[#This Row],[Spouse0]] = 'Calculation Worksheet'!$CG$6 &amp; "  /  " &amp; 'Calculation Worksheet'!$CG$7, 1, ""))</f>
        <v>0</v>
      </c>
      <c r="U169" s="63" t="str">
        <f>IF(StatusBranchGrade[[#This Row],[T1]] = 1, COUNTIF($T$3:T169, 1), "")</f>
        <v/>
      </c>
      <c r="V169" s="63" t="str">
        <f>IFERROR(INDEX(StatusBranchGrade[Rank/Grade], MATCH(ROWS($U$3:U169)-1, StatusBranchGrade[T2], 0)), "") &amp; ""</f>
        <v/>
      </c>
      <c r="W169" s="63"/>
    </row>
    <row r="170" spans="1:23" x14ac:dyDescent="0.25">
      <c r="A170">
        <v>4</v>
      </c>
      <c r="B170" t="s">
        <v>339</v>
      </c>
      <c r="C170" t="s">
        <v>185</v>
      </c>
      <c r="D170" t="s">
        <v>88</v>
      </c>
      <c r="E170" t="str">
        <f>IF(StatusBranchGrade[[#This Row],[Status]] = "CYS", "DoD", StatusBranchGrade[[#This Row],[Rank]] &amp; "")</f>
        <v>O-4</v>
      </c>
      <c r="F170" t="s">
        <v>88</v>
      </c>
      <c r="G170" t="str">
        <f>IF(StatusBranchGrade[[#This Row],[Rank]] = StatusBranchGrade[[#This Row],[Grade]], StatusBranchGrade[[#This Row],[Rank]], StatusBranchGrade[[#This Row],[Grade]] &amp; "/" &amp; StatusBranchGrade[[#This Row],[Rank]]) &amp; ""</f>
        <v>O-4</v>
      </c>
      <c r="H17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O-4</v>
      </c>
      <c r="I170" s="17" t="str">
        <f>SUBSTITUTE(SUBSTITUTE(SUBSTITUTE(StatusBranchGrade[[#This Row],[Status]] &amp; "  /  " &amp; StatusBranchGrade[[#This Row],[Branch]] &amp; ";", "  /  ;", ";"), "  /  ;", ";"), ";", "")</f>
        <v>Wounded Warrior--GC-approved  /  Space Force</v>
      </c>
      <c r="J170">
        <v>12</v>
      </c>
      <c r="K170" s="17" t="str">
        <f>IF(LEFT(StatusBranchGrade[[#This Row],[Which]], 1) = "1", StatusBranchGrade[[#This Row],[Key]], "")</f>
        <v>Wounded Warrior--GC-approved  /  Space Force  /  O-4</v>
      </c>
      <c r="L170" s="17" t="str">
        <f>IF(LEFT(StatusBranchGrade[[#This Row],[Which]], 1) = "1", StatusBranchGrade[[#This Row],[Key0]], "")</f>
        <v>Wounded Warrior--GC-approved  /  Space Force</v>
      </c>
      <c r="M170" s="17" t="str">
        <f>IF(RIGHT(StatusBranchGrade[[#This Row],[Which]], 1) = "2", StatusBranchGrade[[#This Row],[Key]], "")</f>
        <v>Wounded Warrior--GC-approved  /  Space Force  /  O-4</v>
      </c>
      <c r="N170" s="17" t="str">
        <f>IF(RIGHT(StatusBranchGrade[[#This Row],[Which]], 1) = "2", StatusBranchGrade[[#This Row],[Key0]], "")</f>
        <v>Wounded Warrior--GC-approved  /  Space Force</v>
      </c>
      <c r="O170" s="17" t="s">
        <v>299</v>
      </c>
      <c r="P170" s="17"/>
      <c r="Q170" s="63">
        <f>--ISNUMBER(IF(StatusBranchGrade[[#This Row],[Sponsor0]] = 'Calculation Worksheet'!$AV$6 &amp; "  /  " &amp; 'Calculation Worksheet'!$AV$7, 1, ""))</f>
        <v>0</v>
      </c>
      <c r="R170" s="63" t="str">
        <f>IF(StatusBranchGrade[[#This Row],[S1]] = 1, COUNTIF($Q$3:Q170, 1), "")</f>
        <v/>
      </c>
      <c r="S170" s="63" t="str">
        <f>IFERROR(INDEX(StatusBranchGrade[Rank/Grade], MATCH(ROWS($R$3:R170)-1, StatusBranchGrade[S2], 0)), "") &amp; ""</f>
        <v/>
      </c>
      <c r="T170" s="63">
        <f>--ISNUMBER(IF(StatusBranchGrade[[#This Row],[Spouse0]] = 'Calculation Worksheet'!$CG$6 &amp; "  /  " &amp; 'Calculation Worksheet'!$CG$7, 1, ""))</f>
        <v>0</v>
      </c>
      <c r="U170" s="63" t="str">
        <f>IF(StatusBranchGrade[[#This Row],[T1]] = 1, COUNTIF($T$3:T170, 1), "")</f>
        <v/>
      </c>
      <c r="V170" s="63" t="str">
        <f>IFERROR(INDEX(StatusBranchGrade[Rank/Grade], MATCH(ROWS($U$3:U170)-1, StatusBranchGrade[T2], 0)), "") &amp; ""</f>
        <v/>
      </c>
      <c r="W170" s="63"/>
    </row>
    <row r="171" spans="1:23" x14ac:dyDescent="0.25">
      <c r="A171">
        <v>4</v>
      </c>
      <c r="B171" t="s">
        <v>339</v>
      </c>
      <c r="C171" t="s">
        <v>185</v>
      </c>
      <c r="D171" t="s">
        <v>87</v>
      </c>
      <c r="E171" t="str">
        <f>IF(StatusBranchGrade[[#This Row],[Status]] = "CYS", "DoD", StatusBranchGrade[[#This Row],[Rank]] &amp; "")</f>
        <v>O-5</v>
      </c>
      <c r="F171" t="s">
        <v>87</v>
      </c>
      <c r="G171" t="str">
        <f>IF(StatusBranchGrade[[#This Row],[Rank]] = StatusBranchGrade[[#This Row],[Grade]], StatusBranchGrade[[#This Row],[Rank]], StatusBranchGrade[[#This Row],[Grade]] &amp; "/" &amp; StatusBranchGrade[[#This Row],[Rank]]) &amp; ""</f>
        <v>O-5</v>
      </c>
      <c r="H17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O-5</v>
      </c>
      <c r="I171" s="17" t="str">
        <f>SUBSTITUTE(SUBSTITUTE(SUBSTITUTE(StatusBranchGrade[[#This Row],[Status]] &amp; "  /  " &amp; StatusBranchGrade[[#This Row],[Branch]] &amp; ";", "  /  ;", ";"), "  /  ;", ";"), ";", "")</f>
        <v>Wounded Warrior--GC-approved  /  Space Force</v>
      </c>
      <c r="J171">
        <v>12</v>
      </c>
      <c r="K171" s="17" t="str">
        <f>IF(LEFT(StatusBranchGrade[[#This Row],[Which]], 1) = "1", StatusBranchGrade[[#This Row],[Key]], "")</f>
        <v>Wounded Warrior--GC-approved  /  Space Force  /  O-5</v>
      </c>
      <c r="L171" s="17" t="str">
        <f>IF(LEFT(StatusBranchGrade[[#This Row],[Which]], 1) = "1", StatusBranchGrade[[#This Row],[Key0]], "")</f>
        <v>Wounded Warrior--GC-approved  /  Space Force</v>
      </c>
      <c r="M171" s="17" t="str">
        <f>IF(RIGHT(StatusBranchGrade[[#This Row],[Which]], 1) = "2", StatusBranchGrade[[#This Row],[Key]], "")</f>
        <v>Wounded Warrior--GC-approved  /  Space Force  /  O-5</v>
      </c>
      <c r="N171" s="17" t="str">
        <f>IF(RIGHT(StatusBranchGrade[[#This Row],[Which]], 1) = "2", StatusBranchGrade[[#This Row],[Key0]], "")</f>
        <v>Wounded Warrior--GC-approved  /  Space Force</v>
      </c>
      <c r="O171" s="17" t="s">
        <v>299</v>
      </c>
      <c r="P171" s="17"/>
      <c r="Q171" s="63">
        <f>--ISNUMBER(IF(StatusBranchGrade[[#This Row],[Sponsor0]] = 'Calculation Worksheet'!$AV$6 &amp; "  /  " &amp; 'Calculation Worksheet'!$AV$7, 1, ""))</f>
        <v>0</v>
      </c>
      <c r="R171" s="63" t="str">
        <f>IF(StatusBranchGrade[[#This Row],[S1]] = 1, COUNTIF($Q$3:Q171, 1), "")</f>
        <v/>
      </c>
      <c r="S171" s="63" t="str">
        <f>IFERROR(INDEX(StatusBranchGrade[Rank/Grade], MATCH(ROWS($R$3:R171)-1, StatusBranchGrade[S2], 0)), "") &amp; ""</f>
        <v/>
      </c>
      <c r="T171" s="63">
        <f>--ISNUMBER(IF(StatusBranchGrade[[#This Row],[Spouse0]] = 'Calculation Worksheet'!$CG$6 &amp; "  /  " &amp; 'Calculation Worksheet'!$CG$7, 1, ""))</f>
        <v>0</v>
      </c>
      <c r="U171" s="63" t="str">
        <f>IF(StatusBranchGrade[[#This Row],[T1]] = 1, COUNTIF($T$3:T171, 1), "")</f>
        <v/>
      </c>
      <c r="V171" s="63" t="str">
        <f>IFERROR(INDEX(StatusBranchGrade[Rank/Grade], MATCH(ROWS($U$3:U171)-1, StatusBranchGrade[T2], 0)), "") &amp; ""</f>
        <v/>
      </c>
      <c r="W171" s="63"/>
    </row>
    <row r="172" spans="1:23" x14ac:dyDescent="0.25">
      <c r="A172">
        <v>4</v>
      </c>
      <c r="B172" t="s">
        <v>339</v>
      </c>
      <c r="C172" t="s">
        <v>185</v>
      </c>
      <c r="D172" t="s">
        <v>86</v>
      </c>
      <c r="E172" t="str">
        <f>IF(StatusBranchGrade[[#This Row],[Status]] = "CYS", "DoD", StatusBranchGrade[[#This Row],[Rank]] &amp; "")</f>
        <v>O-6</v>
      </c>
      <c r="F172" t="s">
        <v>86</v>
      </c>
      <c r="G172" t="str">
        <f>IF(StatusBranchGrade[[#This Row],[Rank]] = StatusBranchGrade[[#This Row],[Grade]], StatusBranchGrade[[#This Row],[Rank]], StatusBranchGrade[[#This Row],[Grade]] &amp; "/" &amp; StatusBranchGrade[[#This Row],[Rank]]) &amp; ""</f>
        <v>O-6</v>
      </c>
      <c r="H17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O-6</v>
      </c>
      <c r="I172" s="17" t="str">
        <f>SUBSTITUTE(SUBSTITUTE(SUBSTITUTE(StatusBranchGrade[[#This Row],[Status]] &amp; "  /  " &amp; StatusBranchGrade[[#This Row],[Branch]] &amp; ";", "  /  ;", ";"), "  /  ;", ";"), ";", "")</f>
        <v>Wounded Warrior--GC-approved  /  Space Force</v>
      </c>
      <c r="J172">
        <v>12</v>
      </c>
      <c r="K172" s="17" t="str">
        <f>IF(LEFT(StatusBranchGrade[[#This Row],[Which]], 1) = "1", StatusBranchGrade[[#This Row],[Key]], "")</f>
        <v>Wounded Warrior--GC-approved  /  Space Force  /  O-6</v>
      </c>
      <c r="L172" s="17" t="str">
        <f>IF(LEFT(StatusBranchGrade[[#This Row],[Which]], 1) = "1", StatusBranchGrade[[#This Row],[Key0]], "")</f>
        <v>Wounded Warrior--GC-approved  /  Space Force</v>
      </c>
      <c r="M172" s="17" t="str">
        <f>IF(RIGHT(StatusBranchGrade[[#This Row],[Which]], 1) = "2", StatusBranchGrade[[#This Row],[Key]], "")</f>
        <v>Wounded Warrior--GC-approved  /  Space Force  /  O-6</v>
      </c>
      <c r="N172" s="17" t="str">
        <f>IF(RIGHT(StatusBranchGrade[[#This Row],[Which]], 1) = "2", StatusBranchGrade[[#This Row],[Key0]], "")</f>
        <v>Wounded Warrior--GC-approved  /  Space Force</v>
      </c>
      <c r="O172" s="17" t="s">
        <v>299</v>
      </c>
      <c r="P172" s="17"/>
      <c r="Q172" s="63">
        <f>--ISNUMBER(IF(StatusBranchGrade[[#This Row],[Sponsor0]] = 'Calculation Worksheet'!$AV$6 &amp; "  /  " &amp; 'Calculation Worksheet'!$AV$7, 1, ""))</f>
        <v>0</v>
      </c>
      <c r="R172" s="63" t="str">
        <f>IF(StatusBranchGrade[[#This Row],[S1]] = 1, COUNTIF($Q$3:Q172, 1), "")</f>
        <v/>
      </c>
      <c r="S172" s="63" t="str">
        <f>IFERROR(INDEX(StatusBranchGrade[Rank/Grade], MATCH(ROWS($R$3:R172)-1, StatusBranchGrade[S2], 0)), "") &amp; ""</f>
        <v/>
      </c>
      <c r="T172" s="63">
        <f>--ISNUMBER(IF(StatusBranchGrade[[#This Row],[Spouse0]] = 'Calculation Worksheet'!$CG$6 &amp; "  /  " &amp; 'Calculation Worksheet'!$CG$7, 1, ""))</f>
        <v>0</v>
      </c>
      <c r="U172" s="63" t="str">
        <f>IF(StatusBranchGrade[[#This Row],[T1]] = 1, COUNTIF($T$3:T172, 1), "")</f>
        <v/>
      </c>
      <c r="V172" s="63" t="str">
        <f>IFERROR(INDEX(StatusBranchGrade[Rank/Grade], MATCH(ROWS($U$3:U172)-1, StatusBranchGrade[T2], 0)), "") &amp; ""</f>
        <v/>
      </c>
      <c r="W172" s="63"/>
    </row>
    <row r="173" spans="1:23" x14ac:dyDescent="0.25">
      <c r="A173">
        <v>4</v>
      </c>
      <c r="B173" t="s">
        <v>339</v>
      </c>
      <c r="C173" t="s">
        <v>185</v>
      </c>
      <c r="D173" t="s">
        <v>85</v>
      </c>
      <c r="E173" t="str">
        <f>IF(StatusBranchGrade[[#This Row],[Status]] = "CYS", "DoD", StatusBranchGrade[[#This Row],[Rank]] &amp; "")</f>
        <v>O-7</v>
      </c>
      <c r="F173" t="s">
        <v>85</v>
      </c>
      <c r="G173" t="str">
        <f>IF(StatusBranchGrade[[#This Row],[Rank]] = StatusBranchGrade[[#This Row],[Grade]], StatusBranchGrade[[#This Row],[Rank]], StatusBranchGrade[[#This Row],[Grade]] &amp; "/" &amp; StatusBranchGrade[[#This Row],[Rank]]) &amp; ""</f>
        <v>O-7</v>
      </c>
      <c r="H17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O-7</v>
      </c>
      <c r="I173" s="17" t="str">
        <f>SUBSTITUTE(SUBSTITUTE(SUBSTITUTE(StatusBranchGrade[[#This Row],[Status]] &amp; "  /  " &amp; StatusBranchGrade[[#This Row],[Branch]] &amp; ";", "  /  ;", ";"), "  /  ;", ";"), ";", "")</f>
        <v>Wounded Warrior--GC-approved  /  Space Force</v>
      </c>
      <c r="J173">
        <v>12</v>
      </c>
      <c r="K173" s="17" t="str">
        <f>IF(LEFT(StatusBranchGrade[[#This Row],[Which]], 1) = "1", StatusBranchGrade[[#This Row],[Key]], "")</f>
        <v>Wounded Warrior--GC-approved  /  Space Force  /  O-7</v>
      </c>
      <c r="L173" s="17" t="str">
        <f>IF(LEFT(StatusBranchGrade[[#This Row],[Which]], 1) = "1", StatusBranchGrade[[#This Row],[Key0]], "")</f>
        <v>Wounded Warrior--GC-approved  /  Space Force</v>
      </c>
      <c r="M173" s="17" t="str">
        <f>IF(RIGHT(StatusBranchGrade[[#This Row],[Which]], 1) = "2", StatusBranchGrade[[#This Row],[Key]], "")</f>
        <v>Wounded Warrior--GC-approved  /  Space Force  /  O-7</v>
      </c>
      <c r="N173" s="17" t="str">
        <f>IF(RIGHT(StatusBranchGrade[[#This Row],[Which]], 1) = "2", StatusBranchGrade[[#This Row],[Key0]], "")</f>
        <v>Wounded Warrior--GC-approved  /  Space Force</v>
      </c>
      <c r="O173" s="17" t="s">
        <v>299</v>
      </c>
      <c r="P173" s="17"/>
      <c r="Q173" s="63">
        <f>--ISNUMBER(IF(StatusBranchGrade[[#This Row],[Sponsor0]] = 'Calculation Worksheet'!$AV$6 &amp; "  /  " &amp; 'Calculation Worksheet'!$AV$7, 1, ""))</f>
        <v>0</v>
      </c>
      <c r="R173" s="63" t="str">
        <f>IF(StatusBranchGrade[[#This Row],[S1]] = 1, COUNTIF($Q$3:Q173, 1), "")</f>
        <v/>
      </c>
      <c r="S173" s="63" t="str">
        <f>IFERROR(INDEX(StatusBranchGrade[Rank/Grade], MATCH(ROWS($R$3:R173)-1, StatusBranchGrade[S2], 0)), "") &amp; ""</f>
        <v/>
      </c>
      <c r="T173" s="63">
        <f>--ISNUMBER(IF(StatusBranchGrade[[#This Row],[Spouse0]] = 'Calculation Worksheet'!$CG$6 &amp; "  /  " &amp; 'Calculation Worksheet'!$CG$7, 1, ""))</f>
        <v>0</v>
      </c>
      <c r="U173" s="63" t="str">
        <f>IF(StatusBranchGrade[[#This Row],[T1]] = 1, COUNTIF($T$3:T173, 1), "")</f>
        <v/>
      </c>
      <c r="V173" s="63" t="str">
        <f>IFERROR(INDEX(StatusBranchGrade[Rank/Grade], MATCH(ROWS($U$3:U173)-1, StatusBranchGrade[T2], 0)), "") &amp; ""</f>
        <v/>
      </c>
      <c r="W173" s="63"/>
    </row>
    <row r="174" spans="1:23" x14ac:dyDescent="0.25">
      <c r="A174">
        <v>4</v>
      </c>
      <c r="B174" t="s">
        <v>339</v>
      </c>
      <c r="C174" t="s">
        <v>185</v>
      </c>
      <c r="D174" t="s">
        <v>84</v>
      </c>
      <c r="E174" t="str">
        <f>IF(StatusBranchGrade[[#This Row],[Status]] = "CYS", "DoD", StatusBranchGrade[[#This Row],[Rank]] &amp; "")</f>
        <v>O-8</v>
      </c>
      <c r="F174" t="s">
        <v>84</v>
      </c>
      <c r="G174" t="str">
        <f>IF(StatusBranchGrade[[#This Row],[Rank]] = StatusBranchGrade[[#This Row],[Grade]], StatusBranchGrade[[#This Row],[Rank]], StatusBranchGrade[[#This Row],[Grade]] &amp; "/" &amp; StatusBranchGrade[[#This Row],[Rank]]) &amp; ""</f>
        <v>O-8</v>
      </c>
      <c r="H17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O-8</v>
      </c>
      <c r="I174" s="17" t="str">
        <f>SUBSTITUTE(SUBSTITUTE(SUBSTITUTE(StatusBranchGrade[[#This Row],[Status]] &amp; "  /  " &amp; StatusBranchGrade[[#This Row],[Branch]] &amp; ";", "  /  ;", ";"), "  /  ;", ";"), ";", "")</f>
        <v>Wounded Warrior--GC-approved  /  Space Force</v>
      </c>
      <c r="J174">
        <v>12</v>
      </c>
      <c r="K174" s="17" t="str">
        <f>IF(LEFT(StatusBranchGrade[[#This Row],[Which]], 1) = "1", StatusBranchGrade[[#This Row],[Key]], "")</f>
        <v>Wounded Warrior--GC-approved  /  Space Force  /  O-8</v>
      </c>
      <c r="L174" s="17" t="str">
        <f>IF(LEFT(StatusBranchGrade[[#This Row],[Which]], 1) = "1", StatusBranchGrade[[#This Row],[Key0]], "")</f>
        <v>Wounded Warrior--GC-approved  /  Space Force</v>
      </c>
      <c r="M174" s="17" t="str">
        <f>IF(RIGHT(StatusBranchGrade[[#This Row],[Which]], 1) = "2", StatusBranchGrade[[#This Row],[Key]], "")</f>
        <v>Wounded Warrior--GC-approved  /  Space Force  /  O-8</v>
      </c>
      <c r="N174" s="17" t="str">
        <f>IF(RIGHT(StatusBranchGrade[[#This Row],[Which]], 1) = "2", StatusBranchGrade[[#This Row],[Key0]], "")</f>
        <v>Wounded Warrior--GC-approved  /  Space Force</v>
      </c>
      <c r="O174" s="17" t="s">
        <v>299</v>
      </c>
      <c r="P174" s="17"/>
      <c r="Q174" s="63">
        <f>--ISNUMBER(IF(StatusBranchGrade[[#This Row],[Sponsor0]] = 'Calculation Worksheet'!$AV$6 &amp; "  /  " &amp; 'Calculation Worksheet'!$AV$7, 1, ""))</f>
        <v>0</v>
      </c>
      <c r="R174" s="63" t="str">
        <f>IF(StatusBranchGrade[[#This Row],[S1]] = 1, COUNTIF($Q$3:Q174, 1), "")</f>
        <v/>
      </c>
      <c r="S174" s="63" t="str">
        <f>IFERROR(INDEX(StatusBranchGrade[Rank/Grade], MATCH(ROWS($R$3:R174)-1, StatusBranchGrade[S2], 0)), "") &amp; ""</f>
        <v/>
      </c>
      <c r="T174" s="63">
        <f>--ISNUMBER(IF(StatusBranchGrade[[#This Row],[Spouse0]] = 'Calculation Worksheet'!$CG$6 &amp; "  /  " &amp; 'Calculation Worksheet'!$CG$7, 1, ""))</f>
        <v>0</v>
      </c>
      <c r="U174" s="63" t="str">
        <f>IF(StatusBranchGrade[[#This Row],[T1]] = 1, COUNTIF($T$3:T174, 1), "")</f>
        <v/>
      </c>
      <c r="V174" s="63" t="str">
        <f>IFERROR(INDEX(StatusBranchGrade[Rank/Grade], MATCH(ROWS($U$3:U174)-1, StatusBranchGrade[T2], 0)), "") &amp; ""</f>
        <v/>
      </c>
      <c r="W174" s="63"/>
    </row>
    <row r="175" spans="1:23" x14ac:dyDescent="0.25">
      <c r="A175">
        <v>4</v>
      </c>
      <c r="B175" t="s">
        <v>339</v>
      </c>
      <c r="C175" t="s">
        <v>185</v>
      </c>
      <c r="D175" t="s">
        <v>83</v>
      </c>
      <c r="E175" t="str">
        <f>IF(StatusBranchGrade[[#This Row],[Status]] = "CYS", "DoD", StatusBranchGrade[[#This Row],[Rank]] &amp; "")</f>
        <v>O-9</v>
      </c>
      <c r="F175" t="s">
        <v>83</v>
      </c>
      <c r="G175" t="str">
        <f>IF(StatusBranchGrade[[#This Row],[Rank]] = StatusBranchGrade[[#This Row],[Grade]], StatusBranchGrade[[#This Row],[Rank]], StatusBranchGrade[[#This Row],[Grade]] &amp; "/" &amp; StatusBranchGrade[[#This Row],[Rank]]) &amp; ""</f>
        <v>O-9</v>
      </c>
      <c r="H17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O-9</v>
      </c>
      <c r="I175" s="17" t="str">
        <f>SUBSTITUTE(SUBSTITUTE(SUBSTITUTE(StatusBranchGrade[[#This Row],[Status]] &amp; "  /  " &amp; StatusBranchGrade[[#This Row],[Branch]] &amp; ";", "  /  ;", ";"), "  /  ;", ";"), ";", "")</f>
        <v>Wounded Warrior--GC-approved  /  Space Force</v>
      </c>
      <c r="J175">
        <v>12</v>
      </c>
      <c r="K175" s="17" t="str">
        <f>IF(LEFT(StatusBranchGrade[[#This Row],[Which]], 1) = "1", StatusBranchGrade[[#This Row],[Key]], "")</f>
        <v>Wounded Warrior--GC-approved  /  Space Force  /  O-9</v>
      </c>
      <c r="L175" s="17" t="str">
        <f>IF(LEFT(StatusBranchGrade[[#This Row],[Which]], 1) = "1", StatusBranchGrade[[#This Row],[Key0]], "")</f>
        <v>Wounded Warrior--GC-approved  /  Space Force</v>
      </c>
      <c r="M175" s="17" t="str">
        <f>IF(RIGHT(StatusBranchGrade[[#This Row],[Which]], 1) = "2", StatusBranchGrade[[#This Row],[Key]], "")</f>
        <v>Wounded Warrior--GC-approved  /  Space Force  /  O-9</v>
      </c>
      <c r="N175" s="17" t="str">
        <f>IF(RIGHT(StatusBranchGrade[[#This Row],[Which]], 1) = "2", StatusBranchGrade[[#This Row],[Key0]], "")</f>
        <v>Wounded Warrior--GC-approved  /  Space Force</v>
      </c>
      <c r="O175" s="17" t="s">
        <v>299</v>
      </c>
      <c r="P175" s="17"/>
      <c r="Q175" s="63">
        <f>--ISNUMBER(IF(StatusBranchGrade[[#This Row],[Sponsor0]] = 'Calculation Worksheet'!$AV$6 &amp; "  /  " &amp; 'Calculation Worksheet'!$AV$7, 1, ""))</f>
        <v>0</v>
      </c>
      <c r="R175" s="63" t="str">
        <f>IF(StatusBranchGrade[[#This Row],[S1]] = 1, COUNTIF($Q$3:Q175, 1), "")</f>
        <v/>
      </c>
      <c r="S175" s="63" t="str">
        <f>IFERROR(INDEX(StatusBranchGrade[Rank/Grade], MATCH(ROWS($R$3:R175)-1, StatusBranchGrade[S2], 0)), "") &amp; ""</f>
        <v/>
      </c>
      <c r="T175" s="63">
        <f>--ISNUMBER(IF(StatusBranchGrade[[#This Row],[Spouse0]] = 'Calculation Worksheet'!$CG$6 &amp; "  /  " &amp; 'Calculation Worksheet'!$CG$7, 1, ""))</f>
        <v>0</v>
      </c>
      <c r="U175" s="63" t="str">
        <f>IF(StatusBranchGrade[[#This Row],[T1]] = 1, COUNTIF($T$3:T175, 1), "")</f>
        <v/>
      </c>
      <c r="V175" s="63" t="str">
        <f>IFERROR(INDEX(StatusBranchGrade[Rank/Grade], MATCH(ROWS($U$3:U175)-1, StatusBranchGrade[T2], 0)), "") &amp; ""</f>
        <v/>
      </c>
      <c r="W175" s="63"/>
    </row>
    <row r="176" spans="1:23" x14ac:dyDescent="0.25">
      <c r="A176">
        <v>4</v>
      </c>
      <c r="B176" t="s">
        <v>339</v>
      </c>
      <c r="C176" t="s">
        <v>185</v>
      </c>
      <c r="D176" t="s">
        <v>96</v>
      </c>
      <c r="E176" t="str">
        <f>IF(StatusBranchGrade[[#This Row],[Status]] = "CYS", "DoD", StatusBranchGrade[[#This Row],[Rank]] &amp; "")</f>
        <v>W-1</v>
      </c>
      <c r="F176" t="s">
        <v>96</v>
      </c>
      <c r="G176" t="str">
        <f>IF(StatusBranchGrade[[#This Row],[Rank]] = StatusBranchGrade[[#This Row],[Grade]], StatusBranchGrade[[#This Row],[Rank]], StatusBranchGrade[[#This Row],[Grade]] &amp; "/" &amp; StatusBranchGrade[[#This Row],[Rank]]) &amp; ""</f>
        <v>W-1</v>
      </c>
      <c r="H17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W-1</v>
      </c>
      <c r="I176" s="17" t="str">
        <f>SUBSTITUTE(SUBSTITUTE(SUBSTITUTE(StatusBranchGrade[[#This Row],[Status]] &amp; "  /  " &amp; StatusBranchGrade[[#This Row],[Branch]] &amp; ";", "  /  ;", ";"), "  /  ;", ";"), ";", "")</f>
        <v>Wounded Warrior--GC-approved  /  Space Force</v>
      </c>
      <c r="J176">
        <v>12</v>
      </c>
      <c r="K176" s="17" t="str">
        <f>IF(LEFT(StatusBranchGrade[[#This Row],[Which]], 1) = "1", StatusBranchGrade[[#This Row],[Key]], "")</f>
        <v>Wounded Warrior--GC-approved  /  Space Force  /  W-1</v>
      </c>
      <c r="L176" s="17" t="str">
        <f>IF(LEFT(StatusBranchGrade[[#This Row],[Which]], 1) = "1", StatusBranchGrade[[#This Row],[Key0]], "")</f>
        <v>Wounded Warrior--GC-approved  /  Space Force</v>
      </c>
      <c r="M176" s="17" t="str">
        <f>IF(RIGHT(StatusBranchGrade[[#This Row],[Which]], 1) = "2", StatusBranchGrade[[#This Row],[Key]], "")</f>
        <v>Wounded Warrior--GC-approved  /  Space Force  /  W-1</v>
      </c>
      <c r="N176" s="17" t="str">
        <f>IF(RIGHT(StatusBranchGrade[[#This Row],[Which]], 1) = "2", StatusBranchGrade[[#This Row],[Key0]], "")</f>
        <v>Wounded Warrior--GC-approved  /  Space Force</v>
      </c>
      <c r="O176" s="17" t="s">
        <v>299</v>
      </c>
      <c r="P176" s="17"/>
      <c r="Q176" s="63">
        <f>--ISNUMBER(IF(StatusBranchGrade[[#This Row],[Sponsor0]] = 'Calculation Worksheet'!$AV$6 &amp; "  /  " &amp; 'Calculation Worksheet'!$AV$7, 1, ""))</f>
        <v>0</v>
      </c>
      <c r="R176" s="63" t="str">
        <f>IF(StatusBranchGrade[[#This Row],[S1]] = 1, COUNTIF($Q$3:Q176, 1), "")</f>
        <v/>
      </c>
      <c r="S176" s="63" t="str">
        <f>IFERROR(INDEX(StatusBranchGrade[Rank/Grade], MATCH(ROWS($R$3:R176)-1, StatusBranchGrade[S2], 0)), "") &amp; ""</f>
        <v/>
      </c>
      <c r="T176" s="63">
        <f>--ISNUMBER(IF(StatusBranchGrade[[#This Row],[Spouse0]] = 'Calculation Worksheet'!$CG$6 &amp; "  /  " &amp; 'Calculation Worksheet'!$CG$7, 1, ""))</f>
        <v>0</v>
      </c>
      <c r="U176" s="63" t="str">
        <f>IF(StatusBranchGrade[[#This Row],[T1]] = 1, COUNTIF($T$3:T176, 1), "")</f>
        <v/>
      </c>
      <c r="V176" s="63" t="str">
        <f>IFERROR(INDEX(StatusBranchGrade[Rank/Grade], MATCH(ROWS($U$3:U176)-1, StatusBranchGrade[T2], 0)), "") &amp; ""</f>
        <v/>
      </c>
      <c r="W176" s="63"/>
    </row>
    <row r="177" spans="1:23" x14ac:dyDescent="0.25">
      <c r="A177">
        <v>4</v>
      </c>
      <c r="B177" t="s">
        <v>339</v>
      </c>
      <c r="C177" t="s">
        <v>185</v>
      </c>
      <c r="D177" t="s">
        <v>95</v>
      </c>
      <c r="E177" t="str">
        <f>IF(StatusBranchGrade[[#This Row],[Status]] = "CYS", "DoD", StatusBranchGrade[[#This Row],[Rank]] &amp; "")</f>
        <v>W-2</v>
      </c>
      <c r="F177" t="s">
        <v>95</v>
      </c>
      <c r="G177" t="str">
        <f>IF(StatusBranchGrade[[#This Row],[Rank]] = StatusBranchGrade[[#This Row],[Grade]], StatusBranchGrade[[#This Row],[Rank]], StatusBranchGrade[[#This Row],[Grade]] &amp; "/" &amp; StatusBranchGrade[[#This Row],[Rank]]) &amp; ""</f>
        <v>W-2</v>
      </c>
      <c r="H17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W-2</v>
      </c>
      <c r="I177" s="17" t="str">
        <f>SUBSTITUTE(SUBSTITUTE(SUBSTITUTE(StatusBranchGrade[[#This Row],[Status]] &amp; "  /  " &amp; StatusBranchGrade[[#This Row],[Branch]] &amp; ";", "  /  ;", ";"), "  /  ;", ";"), ";", "")</f>
        <v>Wounded Warrior--GC-approved  /  Space Force</v>
      </c>
      <c r="J177">
        <v>12</v>
      </c>
      <c r="K177" s="17" t="str">
        <f>IF(LEFT(StatusBranchGrade[[#This Row],[Which]], 1) = "1", StatusBranchGrade[[#This Row],[Key]], "")</f>
        <v>Wounded Warrior--GC-approved  /  Space Force  /  W-2</v>
      </c>
      <c r="L177" s="17" t="str">
        <f>IF(LEFT(StatusBranchGrade[[#This Row],[Which]], 1) = "1", StatusBranchGrade[[#This Row],[Key0]], "")</f>
        <v>Wounded Warrior--GC-approved  /  Space Force</v>
      </c>
      <c r="M177" s="17" t="str">
        <f>IF(RIGHT(StatusBranchGrade[[#This Row],[Which]], 1) = "2", StatusBranchGrade[[#This Row],[Key]], "")</f>
        <v>Wounded Warrior--GC-approved  /  Space Force  /  W-2</v>
      </c>
      <c r="N177" s="17" t="str">
        <f>IF(RIGHT(StatusBranchGrade[[#This Row],[Which]], 1) = "2", StatusBranchGrade[[#This Row],[Key0]], "")</f>
        <v>Wounded Warrior--GC-approved  /  Space Force</v>
      </c>
      <c r="O177" s="17" t="s">
        <v>299</v>
      </c>
      <c r="P177" s="17"/>
      <c r="Q177" s="63">
        <f>--ISNUMBER(IF(StatusBranchGrade[[#This Row],[Sponsor0]] = 'Calculation Worksheet'!$AV$6 &amp; "  /  " &amp; 'Calculation Worksheet'!$AV$7, 1, ""))</f>
        <v>0</v>
      </c>
      <c r="R177" s="63" t="str">
        <f>IF(StatusBranchGrade[[#This Row],[S1]] = 1, COUNTIF($Q$3:Q177, 1), "")</f>
        <v/>
      </c>
      <c r="S177" s="63" t="str">
        <f>IFERROR(INDEX(StatusBranchGrade[Rank/Grade], MATCH(ROWS($R$3:R177)-1, StatusBranchGrade[S2], 0)), "") &amp; ""</f>
        <v/>
      </c>
      <c r="T177" s="63">
        <f>--ISNUMBER(IF(StatusBranchGrade[[#This Row],[Spouse0]] = 'Calculation Worksheet'!$CG$6 &amp; "  /  " &amp; 'Calculation Worksheet'!$CG$7, 1, ""))</f>
        <v>0</v>
      </c>
      <c r="U177" s="63" t="str">
        <f>IF(StatusBranchGrade[[#This Row],[T1]] = 1, COUNTIF($T$3:T177, 1), "")</f>
        <v/>
      </c>
      <c r="V177" s="63" t="str">
        <f>IFERROR(INDEX(StatusBranchGrade[Rank/Grade], MATCH(ROWS($U$3:U177)-1, StatusBranchGrade[T2], 0)), "") &amp; ""</f>
        <v/>
      </c>
      <c r="W177" s="63"/>
    </row>
    <row r="178" spans="1:23" x14ac:dyDescent="0.25">
      <c r="A178">
        <v>4</v>
      </c>
      <c r="B178" t="s">
        <v>339</v>
      </c>
      <c r="C178" t="s">
        <v>185</v>
      </c>
      <c r="D178" t="s">
        <v>94</v>
      </c>
      <c r="E178" t="str">
        <f>IF(StatusBranchGrade[[#This Row],[Status]] = "CYS", "DoD", StatusBranchGrade[[#This Row],[Rank]] &amp; "")</f>
        <v>W-3</v>
      </c>
      <c r="F178" t="s">
        <v>94</v>
      </c>
      <c r="G178" t="str">
        <f>IF(StatusBranchGrade[[#This Row],[Rank]] = StatusBranchGrade[[#This Row],[Grade]], StatusBranchGrade[[#This Row],[Rank]], StatusBranchGrade[[#This Row],[Grade]] &amp; "/" &amp; StatusBranchGrade[[#This Row],[Rank]]) &amp; ""</f>
        <v>W-3</v>
      </c>
      <c r="H17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W-3</v>
      </c>
      <c r="I178" s="17" t="str">
        <f>SUBSTITUTE(SUBSTITUTE(SUBSTITUTE(StatusBranchGrade[[#This Row],[Status]] &amp; "  /  " &amp; StatusBranchGrade[[#This Row],[Branch]] &amp; ";", "  /  ;", ";"), "  /  ;", ";"), ";", "")</f>
        <v>Wounded Warrior--GC-approved  /  Space Force</v>
      </c>
      <c r="J178">
        <v>12</v>
      </c>
      <c r="K178" s="17" t="str">
        <f>IF(LEFT(StatusBranchGrade[[#This Row],[Which]], 1) = "1", StatusBranchGrade[[#This Row],[Key]], "")</f>
        <v>Wounded Warrior--GC-approved  /  Space Force  /  W-3</v>
      </c>
      <c r="L178" s="17" t="str">
        <f>IF(LEFT(StatusBranchGrade[[#This Row],[Which]], 1) = "1", StatusBranchGrade[[#This Row],[Key0]], "")</f>
        <v>Wounded Warrior--GC-approved  /  Space Force</v>
      </c>
      <c r="M178" s="17" t="str">
        <f>IF(RIGHT(StatusBranchGrade[[#This Row],[Which]], 1) = "2", StatusBranchGrade[[#This Row],[Key]], "")</f>
        <v>Wounded Warrior--GC-approved  /  Space Force  /  W-3</v>
      </c>
      <c r="N178" s="17" t="str">
        <f>IF(RIGHT(StatusBranchGrade[[#This Row],[Which]], 1) = "2", StatusBranchGrade[[#This Row],[Key0]], "")</f>
        <v>Wounded Warrior--GC-approved  /  Space Force</v>
      </c>
      <c r="O178" s="17" t="s">
        <v>299</v>
      </c>
      <c r="P178" s="17"/>
      <c r="Q178" s="63">
        <f>--ISNUMBER(IF(StatusBranchGrade[[#This Row],[Sponsor0]] = 'Calculation Worksheet'!$AV$6 &amp; "  /  " &amp; 'Calculation Worksheet'!$AV$7, 1, ""))</f>
        <v>0</v>
      </c>
      <c r="R178" s="63" t="str">
        <f>IF(StatusBranchGrade[[#This Row],[S1]] = 1, COUNTIF($Q$3:Q178, 1), "")</f>
        <v/>
      </c>
      <c r="S178" s="63" t="str">
        <f>IFERROR(INDEX(StatusBranchGrade[Rank/Grade], MATCH(ROWS($R$3:R178)-1, StatusBranchGrade[S2], 0)), "") &amp; ""</f>
        <v/>
      </c>
      <c r="T178" s="63">
        <f>--ISNUMBER(IF(StatusBranchGrade[[#This Row],[Spouse0]] = 'Calculation Worksheet'!$CG$6 &amp; "  /  " &amp; 'Calculation Worksheet'!$CG$7, 1, ""))</f>
        <v>0</v>
      </c>
      <c r="U178" s="63" t="str">
        <f>IF(StatusBranchGrade[[#This Row],[T1]] = 1, COUNTIF($T$3:T178, 1), "")</f>
        <v/>
      </c>
      <c r="V178" s="63" t="str">
        <f>IFERROR(INDEX(StatusBranchGrade[Rank/Grade], MATCH(ROWS($U$3:U178)-1, StatusBranchGrade[T2], 0)), "") &amp; ""</f>
        <v/>
      </c>
      <c r="W178" s="63"/>
    </row>
    <row r="179" spans="1:23" x14ac:dyDescent="0.25">
      <c r="A179">
        <v>4</v>
      </c>
      <c r="B179" t="s">
        <v>339</v>
      </c>
      <c r="C179" t="s">
        <v>185</v>
      </c>
      <c r="D179" t="s">
        <v>93</v>
      </c>
      <c r="E179" t="str">
        <f>IF(StatusBranchGrade[[#This Row],[Status]] = "CYS", "DoD", StatusBranchGrade[[#This Row],[Rank]] &amp; "")</f>
        <v>W-4</v>
      </c>
      <c r="F179" t="s">
        <v>93</v>
      </c>
      <c r="G179" t="str">
        <f>IF(StatusBranchGrade[[#This Row],[Rank]] = StatusBranchGrade[[#This Row],[Grade]], StatusBranchGrade[[#This Row],[Rank]], StatusBranchGrade[[#This Row],[Grade]] &amp; "/" &amp; StatusBranchGrade[[#This Row],[Rank]]) &amp; ""</f>
        <v>W-4</v>
      </c>
      <c r="H17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Wounded Warrior--GC-approved  /  Space Force  /  W-4</v>
      </c>
      <c r="I179" s="17" t="str">
        <f>SUBSTITUTE(SUBSTITUTE(SUBSTITUTE(StatusBranchGrade[[#This Row],[Status]] &amp; "  /  " &amp; StatusBranchGrade[[#This Row],[Branch]] &amp; ";", "  /  ;", ";"), "  /  ;", ";"), ";", "")</f>
        <v>Wounded Warrior--GC-approved  /  Space Force</v>
      </c>
      <c r="J179">
        <v>12</v>
      </c>
      <c r="K179" s="17" t="str">
        <f>IF(LEFT(StatusBranchGrade[[#This Row],[Which]], 1) = "1", StatusBranchGrade[[#This Row],[Key]], "")</f>
        <v>Wounded Warrior--GC-approved  /  Space Force  /  W-4</v>
      </c>
      <c r="L179" s="17" t="str">
        <f>IF(LEFT(StatusBranchGrade[[#This Row],[Which]], 1) = "1", StatusBranchGrade[[#This Row],[Key0]], "")</f>
        <v>Wounded Warrior--GC-approved  /  Space Force</v>
      </c>
      <c r="M179" s="17" t="str">
        <f>IF(RIGHT(StatusBranchGrade[[#This Row],[Which]], 1) = "2", StatusBranchGrade[[#This Row],[Key]], "")</f>
        <v>Wounded Warrior--GC-approved  /  Space Force  /  W-4</v>
      </c>
      <c r="N179" s="17" t="str">
        <f>IF(RIGHT(StatusBranchGrade[[#This Row],[Which]], 1) = "2", StatusBranchGrade[[#This Row],[Key0]], "")</f>
        <v>Wounded Warrior--GC-approved  /  Space Force</v>
      </c>
      <c r="O179" s="17" t="s">
        <v>299</v>
      </c>
      <c r="P179" s="17"/>
      <c r="Q179" s="63">
        <f>--ISNUMBER(IF(StatusBranchGrade[[#This Row],[Sponsor0]] = 'Calculation Worksheet'!$AV$6 &amp; "  /  " &amp; 'Calculation Worksheet'!$AV$7, 1, ""))</f>
        <v>0</v>
      </c>
      <c r="R179" s="63" t="str">
        <f>IF(StatusBranchGrade[[#This Row],[S1]] = 1, COUNTIF($Q$3:Q179, 1), "")</f>
        <v/>
      </c>
      <c r="S179" s="63" t="str">
        <f>IFERROR(INDEX(StatusBranchGrade[Rank/Grade], MATCH(ROWS($R$3:R179)-1, StatusBranchGrade[S2], 0)), "") &amp; ""</f>
        <v/>
      </c>
      <c r="T179" s="63">
        <f>--ISNUMBER(IF(StatusBranchGrade[[#This Row],[Spouse0]] = 'Calculation Worksheet'!$CG$6 &amp; "  /  " &amp; 'Calculation Worksheet'!$CG$7, 1, ""))</f>
        <v>0</v>
      </c>
      <c r="U179" s="63" t="str">
        <f>IF(StatusBranchGrade[[#This Row],[T1]] = 1, COUNTIF($T$3:T179, 1), "")</f>
        <v/>
      </c>
      <c r="V179" s="63" t="str">
        <f>IFERROR(INDEX(StatusBranchGrade[Rank/Grade], MATCH(ROWS($U$3:U179)-1, StatusBranchGrade[T2], 0)), "") &amp; ""</f>
        <v/>
      </c>
      <c r="W179" s="63"/>
    </row>
    <row r="180" spans="1:23" x14ac:dyDescent="0.25">
      <c r="A180">
        <v>5</v>
      </c>
      <c r="B180" t="s">
        <v>216</v>
      </c>
      <c r="C180" t="s">
        <v>183</v>
      </c>
      <c r="D180" t="s">
        <v>105</v>
      </c>
      <c r="E180" t="str">
        <f>IF(StatusBranchGrade[[#This Row],[Status]] = "CYS", "DoD", StatusBranchGrade[[#This Row],[Rank]] &amp; "")</f>
        <v>E-1</v>
      </c>
      <c r="F180" t="s">
        <v>105</v>
      </c>
      <c r="G180" t="str">
        <f>IF(StatusBranchGrade[[#This Row],[Rank]] = StatusBranchGrade[[#This Row],[Grade]], StatusBranchGrade[[#This Row],[Rank]], StatusBranchGrade[[#This Row],[Grade]] &amp; "/" &amp; StatusBranchGrade[[#This Row],[Rank]]) &amp; ""</f>
        <v>E-1</v>
      </c>
      <c r="H18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E-1</v>
      </c>
      <c r="I180" s="17" t="str">
        <f>SUBSTITUTE(SUBSTITUTE(SUBSTITUTE(StatusBranchGrade[[#This Row],[Status]] &amp; "  /  " &amp; StatusBranchGrade[[#This Row],[Branch]] &amp; ";", "  /  ;", ";"), "  /  ;", ";"), ";", "")</f>
        <v>Active Duty  /  Air Force</v>
      </c>
      <c r="J180">
        <v>12</v>
      </c>
      <c r="K180" s="17" t="str">
        <f>IF(LEFT(StatusBranchGrade[[#This Row],[Which]], 1) = "1", StatusBranchGrade[[#This Row],[Key]], "")</f>
        <v>Active Duty  /  Air Force  /  E-1</v>
      </c>
      <c r="L180" s="17" t="str">
        <f>IF(LEFT(StatusBranchGrade[[#This Row],[Which]], 1) = "1", StatusBranchGrade[[#This Row],[Key0]], "")</f>
        <v>Active Duty  /  Air Force</v>
      </c>
      <c r="M180" s="17" t="str">
        <f>IF(RIGHT(StatusBranchGrade[[#This Row],[Which]], 1) = "2", StatusBranchGrade[[#This Row],[Key]], "")</f>
        <v>Active Duty  /  Air Force  /  E-1</v>
      </c>
      <c r="N180" s="17" t="str">
        <f>IF(RIGHT(StatusBranchGrade[[#This Row],[Which]], 1) = "2", StatusBranchGrade[[#This Row],[Key0]], "")</f>
        <v>Active Duty  /  Air Force</v>
      </c>
      <c r="O180" s="17" t="s">
        <v>296</v>
      </c>
      <c r="P180" s="17"/>
      <c r="Q180" s="63">
        <f>--ISNUMBER(IF(StatusBranchGrade[[#This Row],[Sponsor0]] = 'Calculation Worksheet'!$AV$6 &amp; "  /  " &amp; 'Calculation Worksheet'!$AV$7, 1, ""))</f>
        <v>0</v>
      </c>
      <c r="R180" s="63" t="str">
        <f>IF(StatusBranchGrade[[#This Row],[S1]] = 1, COUNTIF($Q$3:Q180, 1), "")</f>
        <v/>
      </c>
      <c r="S180" s="63" t="str">
        <f>IFERROR(INDEX(StatusBranchGrade[Rank/Grade], MATCH(ROWS($R$3:R180)-1, StatusBranchGrade[S2], 0)), "") &amp; ""</f>
        <v/>
      </c>
      <c r="T180" s="63">
        <f>--ISNUMBER(IF(StatusBranchGrade[[#This Row],[Spouse0]] = 'Calculation Worksheet'!$CG$6 &amp; "  /  " &amp; 'Calculation Worksheet'!$CG$7, 1, ""))</f>
        <v>0</v>
      </c>
      <c r="U180" s="63" t="str">
        <f>IF(StatusBranchGrade[[#This Row],[T1]] = 1, COUNTIF($T$3:T180, 1), "")</f>
        <v/>
      </c>
      <c r="V180" s="63" t="str">
        <f>IFERROR(INDEX(StatusBranchGrade[Rank/Grade], MATCH(ROWS($U$3:U180)-1, StatusBranchGrade[T2], 0)), "") &amp; ""</f>
        <v/>
      </c>
      <c r="W180" s="63"/>
    </row>
    <row r="181" spans="1:23" x14ac:dyDescent="0.25">
      <c r="A181">
        <v>5</v>
      </c>
      <c r="B181" t="s">
        <v>216</v>
      </c>
      <c r="C181" t="s">
        <v>183</v>
      </c>
      <c r="D181" t="s">
        <v>104</v>
      </c>
      <c r="E181" t="str">
        <f>IF(StatusBranchGrade[[#This Row],[Status]] = "CYS", "DoD", StatusBranchGrade[[#This Row],[Rank]] &amp; "")</f>
        <v>E-2</v>
      </c>
      <c r="F181" t="s">
        <v>104</v>
      </c>
      <c r="G181" t="str">
        <f>IF(StatusBranchGrade[[#This Row],[Rank]] = StatusBranchGrade[[#This Row],[Grade]], StatusBranchGrade[[#This Row],[Rank]], StatusBranchGrade[[#This Row],[Grade]] &amp; "/" &amp; StatusBranchGrade[[#This Row],[Rank]]) &amp; ""</f>
        <v>E-2</v>
      </c>
      <c r="H18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E-2</v>
      </c>
      <c r="I181" s="17" t="str">
        <f>SUBSTITUTE(SUBSTITUTE(SUBSTITUTE(StatusBranchGrade[[#This Row],[Status]] &amp; "  /  " &amp; StatusBranchGrade[[#This Row],[Branch]] &amp; ";", "  /  ;", ";"), "  /  ;", ";"), ";", "")</f>
        <v>Active Duty  /  Air Force</v>
      </c>
      <c r="J181">
        <v>12</v>
      </c>
      <c r="K181" s="17" t="str">
        <f>IF(LEFT(StatusBranchGrade[[#This Row],[Which]], 1) = "1", StatusBranchGrade[[#This Row],[Key]], "")</f>
        <v>Active Duty  /  Air Force  /  E-2</v>
      </c>
      <c r="L181" s="17" t="str">
        <f>IF(LEFT(StatusBranchGrade[[#This Row],[Which]], 1) = "1", StatusBranchGrade[[#This Row],[Key0]], "")</f>
        <v>Active Duty  /  Air Force</v>
      </c>
      <c r="M181" s="17" t="str">
        <f>IF(RIGHT(StatusBranchGrade[[#This Row],[Which]], 1) = "2", StatusBranchGrade[[#This Row],[Key]], "")</f>
        <v>Active Duty  /  Air Force  /  E-2</v>
      </c>
      <c r="N181" s="17" t="str">
        <f>IF(RIGHT(StatusBranchGrade[[#This Row],[Which]], 1) = "2", StatusBranchGrade[[#This Row],[Key0]], "")</f>
        <v>Active Duty  /  Air Force</v>
      </c>
      <c r="O181" s="17" t="s">
        <v>296</v>
      </c>
      <c r="P181" s="17"/>
      <c r="Q181" s="63">
        <f>--ISNUMBER(IF(StatusBranchGrade[[#This Row],[Sponsor0]] = 'Calculation Worksheet'!$AV$6 &amp; "  /  " &amp; 'Calculation Worksheet'!$AV$7, 1, ""))</f>
        <v>0</v>
      </c>
      <c r="R181" s="63" t="str">
        <f>IF(StatusBranchGrade[[#This Row],[S1]] = 1, COUNTIF($Q$3:Q181, 1), "")</f>
        <v/>
      </c>
      <c r="S181" s="63" t="str">
        <f>IFERROR(INDEX(StatusBranchGrade[Rank/Grade], MATCH(ROWS($R$3:R181)-1, StatusBranchGrade[S2], 0)), "") &amp; ""</f>
        <v/>
      </c>
      <c r="T181" s="63">
        <f>--ISNUMBER(IF(StatusBranchGrade[[#This Row],[Spouse0]] = 'Calculation Worksheet'!$CG$6 &amp; "  /  " &amp; 'Calculation Worksheet'!$CG$7, 1, ""))</f>
        <v>0</v>
      </c>
      <c r="U181" s="63" t="str">
        <f>IF(StatusBranchGrade[[#This Row],[T1]] = 1, COUNTIF($T$3:T181, 1), "")</f>
        <v/>
      </c>
      <c r="V181" s="63" t="str">
        <f>IFERROR(INDEX(StatusBranchGrade[Rank/Grade], MATCH(ROWS($U$3:U181)-1, StatusBranchGrade[T2], 0)), "") &amp; ""</f>
        <v/>
      </c>
      <c r="W181" s="63"/>
    </row>
    <row r="182" spans="1:23" x14ac:dyDescent="0.25">
      <c r="A182">
        <v>5</v>
      </c>
      <c r="B182" t="s">
        <v>216</v>
      </c>
      <c r="C182" t="s">
        <v>183</v>
      </c>
      <c r="D182" t="s">
        <v>103</v>
      </c>
      <c r="E182" t="str">
        <f>IF(StatusBranchGrade[[#This Row],[Status]] = "CYS", "DoD", StatusBranchGrade[[#This Row],[Rank]] &amp; "")</f>
        <v>E-3</v>
      </c>
      <c r="F182" t="s">
        <v>103</v>
      </c>
      <c r="G182" t="str">
        <f>IF(StatusBranchGrade[[#This Row],[Rank]] = StatusBranchGrade[[#This Row],[Grade]], StatusBranchGrade[[#This Row],[Rank]], StatusBranchGrade[[#This Row],[Grade]] &amp; "/" &amp; StatusBranchGrade[[#This Row],[Rank]]) &amp; ""</f>
        <v>E-3</v>
      </c>
      <c r="H18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E-3</v>
      </c>
      <c r="I182" s="17" t="str">
        <f>SUBSTITUTE(SUBSTITUTE(SUBSTITUTE(StatusBranchGrade[[#This Row],[Status]] &amp; "  /  " &amp; StatusBranchGrade[[#This Row],[Branch]] &amp; ";", "  /  ;", ";"), "  /  ;", ";"), ";", "")</f>
        <v>Active Duty  /  Air Force</v>
      </c>
      <c r="J182">
        <v>12</v>
      </c>
      <c r="K182" s="17" t="str">
        <f>IF(LEFT(StatusBranchGrade[[#This Row],[Which]], 1) = "1", StatusBranchGrade[[#This Row],[Key]], "")</f>
        <v>Active Duty  /  Air Force  /  E-3</v>
      </c>
      <c r="L182" s="17" t="str">
        <f>IF(LEFT(StatusBranchGrade[[#This Row],[Which]], 1) = "1", StatusBranchGrade[[#This Row],[Key0]], "")</f>
        <v>Active Duty  /  Air Force</v>
      </c>
      <c r="M182" s="17" t="str">
        <f>IF(RIGHT(StatusBranchGrade[[#This Row],[Which]], 1) = "2", StatusBranchGrade[[#This Row],[Key]], "")</f>
        <v>Active Duty  /  Air Force  /  E-3</v>
      </c>
      <c r="N182" s="17" t="str">
        <f>IF(RIGHT(StatusBranchGrade[[#This Row],[Which]], 1) = "2", StatusBranchGrade[[#This Row],[Key0]], "")</f>
        <v>Active Duty  /  Air Force</v>
      </c>
      <c r="O182" s="17" t="s">
        <v>296</v>
      </c>
      <c r="P182" s="17"/>
      <c r="Q182" s="63">
        <f>--ISNUMBER(IF(StatusBranchGrade[[#This Row],[Sponsor0]] = 'Calculation Worksheet'!$AV$6 &amp; "  /  " &amp; 'Calculation Worksheet'!$AV$7, 1, ""))</f>
        <v>0</v>
      </c>
      <c r="R182" s="63" t="str">
        <f>IF(StatusBranchGrade[[#This Row],[S1]] = 1, COUNTIF($Q$3:Q182, 1), "")</f>
        <v/>
      </c>
      <c r="S182" s="63" t="str">
        <f>IFERROR(INDEX(StatusBranchGrade[Rank/Grade], MATCH(ROWS($R$3:R182)-1, StatusBranchGrade[S2], 0)), "") &amp; ""</f>
        <v/>
      </c>
      <c r="T182" s="63">
        <f>--ISNUMBER(IF(StatusBranchGrade[[#This Row],[Spouse0]] = 'Calculation Worksheet'!$CG$6 &amp; "  /  " &amp; 'Calculation Worksheet'!$CG$7, 1, ""))</f>
        <v>0</v>
      </c>
      <c r="U182" s="63" t="str">
        <f>IF(StatusBranchGrade[[#This Row],[T1]] = 1, COUNTIF($T$3:T182, 1), "")</f>
        <v/>
      </c>
      <c r="V182" s="63" t="str">
        <f>IFERROR(INDEX(StatusBranchGrade[Rank/Grade], MATCH(ROWS($U$3:U182)-1, StatusBranchGrade[T2], 0)), "") &amp; ""</f>
        <v/>
      </c>
      <c r="W182" s="63"/>
    </row>
    <row r="183" spans="1:23" x14ac:dyDescent="0.25">
      <c r="A183">
        <v>5</v>
      </c>
      <c r="B183" t="s">
        <v>216</v>
      </c>
      <c r="C183" t="s">
        <v>183</v>
      </c>
      <c r="D183" t="s">
        <v>102</v>
      </c>
      <c r="E183" t="str">
        <f>IF(StatusBranchGrade[[#This Row],[Status]] = "CYS", "DoD", StatusBranchGrade[[#This Row],[Rank]] &amp; "")</f>
        <v>E-4</v>
      </c>
      <c r="F183" t="s">
        <v>102</v>
      </c>
      <c r="G183" t="str">
        <f>IF(StatusBranchGrade[[#This Row],[Rank]] = StatusBranchGrade[[#This Row],[Grade]], StatusBranchGrade[[#This Row],[Rank]], StatusBranchGrade[[#This Row],[Grade]] &amp; "/" &amp; StatusBranchGrade[[#This Row],[Rank]]) &amp; ""</f>
        <v>E-4</v>
      </c>
      <c r="H18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E-4</v>
      </c>
      <c r="I183" s="17" t="str">
        <f>SUBSTITUTE(SUBSTITUTE(SUBSTITUTE(StatusBranchGrade[[#This Row],[Status]] &amp; "  /  " &amp; StatusBranchGrade[[#This Row],[Branch]] &amp; ";", "  /  ;", ";"), "  /  ;", ";"), ";", "")</f>
        <v>Active Duty  /  Air Force</v>
      </c>
      <c r="J183">
        <v>12</v>
      </c>
      <c r="K183" s="17" t="str">
        <f>IF(LEFT(StatusBranchGrade[[#This Row],[Which]], 1) = "1", StatusBranchGrade[[#This Row],[Key]], "")</f>
        <v>Active Duty  /  Air Force  /  E-4</v>
      </c>
      <c r="L183" s="17" t="str">
        <f>IF(LEFT(StatusBranchGrade[[#This Row],[Which]], 1) = "1", StatusBranchGrade[[#This Row],[Key0]], "")</f>
        <v>Active Duty  /  Air Force</v>
      </c>
      <c r="M183" s="17" t="str">
        <f>IF(RIGHT(StatusBranchGrade[[#This Row],[Which]], 1) = "2", StatusBranchGrade[[#This Row],[Key]], "")</f>
        <v>Active Duty  /  Air Force  /  E-4</v>
      </c>
      <c r="N183" s="17" t="str">
        <f>IF(RIGHT(StatusBranchGrade[[#This Row],[Which]], 1) = "2", StatusBranchGrade[[#This Row],[Key0]], "")</f>
        <v>Active Duty  /  Air Force</v>
      </c>
      <c r="O183" s="17" t="s">
        <v>296</v>
      </c>
      <c r="P183" s="17"/>
      <c r="Q183" s="63">
        <f>--ISNUMBER(IF(StatusBranchGrade[[#This Row],[Sponsor0]] = 'Calculation Worksheet'!$AV$6 &amp; "  /  " &amp; 'Calculation Worksheet'!$AV$7, 1, ""))</f>
        <v>0</v>
      </c>
      <c r="R183" s="63" t="str">
        <f>IF(StatusBranchGrade[[#This Row],[S1]] = 1, COUNTIF($Q$3:Q183, 1), "")</f>
        <v/>
      </c>
      <c r="S183" s="63" t="str">
        <f>IFERROR(INDEX(StatusBranchGrade[Rank/Grade], MATCH(ROWS($R$3:R183)-1, StatusBranchGrade[S2], 0)), "") &amp; ""</f>
        <v/>
      </c>
      <c r="T183" s="63">
        <f>--ISNUMBER(IF(StatusBranchGrade[[#This Row],[Spouse0]] = 'Calculation Worksheet'!$CG$6 &amp; "  /  " &amp; 'Calculation Worksheet'!$CG$7, 1, ""))</f>
        <v>0</v>
      </c>
      <c r="U183" s="63" t="str">
        <f>IF(StatusBranchGrade[[#This Row],[T1]] = 1, COUNTIF($T$3:T183, 1), "")</f>
        <v/>
      </c>
      <c r="V183" s="63" t="str">
        <f>IFERROR(INDEX(StatusBranchGrade[Rank/Grade], MATCH(ROWS($U$3:U183)-1, StatusBranchGrade[T2], 0)), "") &amp; ""</f>
        <v/>
      </c>
      <c r="W183" s="63"/>
    </row>
    <row r="184" spans="1:23" x14ac:dyDescent="0.25">
      <c r="A184">
        <v>5</v>
      </c>
      <c r="B184" t="s">
        <v>216</v>
      </c>
      <c r="C184" t="s">
        <v>183</v>
      </c>
      <c r="D184" t="s">
        <v>101</v>
      </c>
      <c r="E184" t="str">
        <f>IF(StatusBranchGrade[[#This Row],[Status]] = "CYS", "DoD", StatusBranchGrade[[#This Row],[Rank]] &amp; "")</f>
        <v>E-5</v>
      </c>
      <c r="F184" t="s">
        <v>101</v>
      </c>
      <c r="G184" t="str">
        <f>IF(StatusBranchGrade[[#This Row],[Rank]] = StatusBranchGrade[[#This Row],[Grade]], StatusBranchGrade[[#This Row],[Rank]], StatusBranchGrade[[#This Row],[Grade]] &amp; "/" &amp; StatusBranchGrade[[#This Row],[Rank]]) &amp; ""</f>
        <v>E-5</v>
      </c>
      <c r="H18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E-5</v>
      </c>
      <c r="I184" s="17" t="str">
        <f>SUBSTITUTE(SUBSTITUTE(SUBSTITUTE(StatusBranchGrade[[#This Row],[Status]] &amp; "  /  " &amp; StatusBranchGrade[[#This Row],[Branch]] &amp; ";", "  /  ;", ";"), "  /  ;", ";"), ";", "")</f>
        <v>Active Duty  /  Air Force</v>
      </c>
      <c r="J184">
        <v>12</v>
      </c>
      <c r="K184" s="17" t="str">
        <f>IF(LEFT(StatusBranchGrade[[#This Row],[Which]], 1) = "1", StatusBranchGrade[[#This Row],[Key]], "")</f>
        <v>Active Duty  /  Air Force  /  E-5</v>
      </c>
      <c r="L184" s="17" t="str">
        <f>IF(LEFT(StatusBranchGrade[[#This Row],[Which]], 1) = "1", StatusBranchGrade[[#This Row],[Key0]], "")</f>
        <v>Active Duty  /  Air Force</v>
      </c>
      <c r="M184" s="17" t="str">
        <f>IF(RIGHT(StatusBranchGrade[[#This Row],[Which]], 1) = "2", StatusBranchGrade[[#This Row],[Key]], "")</f>
        <v>Active Duty  /  Air Force  /  E-5</v>
      </c>
      <c r="N184" s="17" t="str">
        <f>IF(RIGHT(StatusBranchGrade[[#This Row],[Which]], 1) = "2", StatusBranchGrade[[#This Row],[Key0]], "")</f>
        <v>Active Duty  /  Air Force</v>
      </c>
      <c r="O184" s="17" t="s">
        <v>296</v>
      </c>
      <c r="P184" s="17"/>
      <c r="Q184" s="63">
        <f>--ISNUMBER(IF(StatusBranchGrade[[#This Row],[Sponsor0]] = 'Calculation Worksheet'!$AV$6 &amp; "  /  " &amp; 'Calculation Worksheet'!$AV$7, 1, ""))</f>
        <v>0</v>
      </c>
      <c r="R184" s="63" t="str">
        <f>IF(StatusBranchGrade[[#This Row],[S1]] = 1, COUNTIF($Q$3:Q184, 1), "")</f>
        <v/>
      </c>
      <c r="S184" s="63" t="str">
        <f>IFERROR(INDEX(StatusBranchGrade[Rank/Grade], MATCH(ROWS($R$3:R184)-1, StatusBranchGrade[S2], 0)), "") &amp; ""</f>
        <v/>
      </c>
      <c r="T184" s="63">
        <f>--ISNUMBER(IF(StatusBranchGrade[[#This Row],[Spouse0]] = 'Calculation Worksheet'!$CG$6 &amp; "  /  " &amp; 'Calculation Worksheet'!$CG$7, 1, ""))</f>
        <v>0</v>
      </c>
      <c r="U184" s="63" t="str">
        <f>IF(StatusBranchGrade[[#This Row],[T1]] = 1, COUNTIF($T$3:T184, 1), "")</f>
        <v/>
      </c>
      <c r="V184" s="63" t="str">
        <f>IFERROR(INDEX(StatusBranchGrade[Rank/Grade], MATCH(ROWS($U$3:U184)-1, StatusBranchGrade[T2], 0)), "") &amp; ""</f>
        <v/>
      </c>
      <c r="W184" s="63"/>
    </row>
    <row r="185" spans="1:23" x14ac:dyDescent="0.25">
      <c r="A185">
        <v>5</v>
      </c>
      <c r="B185" t="s">
        <v>216</v>
      </c>
      <c r="C185" t="s">
        <v>183</v>
      </c>
      <c r="D185" t="s">
        <v>100</v>
      </c>
      <c r="E185" t="str">
        <f>IF(StatusBranchGrade[[#This Row],[Status]] = "CYS", "DoD", StatusBranchGrade[[#This Row],[Rank]] &amp; "")</f>
        <v>E-6</v>
      </c>
      <c r="F185" t="s">
        <v>100</v>
      </c>
      <c r="G185" t="str">
        <f>IF(StatusBranchGrade[[#This Row],[Rank]] = StatusBranchGrade[[#This Row],[Grade]], StatusBranchGrade[[#This Row],[Rank]], StatusBranchGrade[[#This Row],[Grade]] &amp; "/" &amp; StatusBranchGrade[[#This Row],[Rank]]) &amp; ""</f>
        <v>E-6</v>
      </c>
      <c r="H18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E-6</v>
      </c>
      <c r="I185" s="17" t="str">
        <f>SUBSTITUTE(SUBSTITUTE(SUBSTITUTE(StatusBranchGrade[[#This Row],[Status]] &amp; "  /  " &amp; StatusBranchGrade[[#This Row],[Branch]] &amp; ";", "  /  ;", ";"), "  /  ;", ";"), ";", "")</f>
        <v>Active Duty  /  Air Force</v>
      </c>
      <c r="J185">
        <v>12</v>
      </c>
      <c r="K185" s="17" t="str">
        <f>IF(LEFT(StatusBranchGrade[[#This Row],[Which]], 1) = "1", StatusBranchGrade[[#This Row],[Key]], "")</f>
        <v>Active Duty  /  Air Force  /  E-6</v>
      </c>
      <c r="L185" s="17" t="str">
        <f>IF(LEFT(StatusBranchGrade[[#This Row],[Which]], 1) = "1", StatusBranchGrade[[#This Row],[Key0]], "")</f>
        <v>Active Duty  /  Air Force</v>
      </c>
      <c r="M185" s="17" t="str">
        <f>IF(RIGHT(StatusBranchGrade[[#This Row],[Which]], 1) = "2", StatusBranchGrade[[#This Row],[Key]], "")</f>
        <v>Active Duty  /  Air Force  /  E-6</v>
      </c>
      <c r="N185" s="17" t="str">
        <f>IF(RIGHT(StatusBranchGrade[[#This Row],[Which]], 1) = "2", StatusBranchGrade[[#This Row],[Key0]], "")</f>
        <v>Active Duty  /  Air Force</v>
      </c>
      <c r="O185" s="17" t="s">
        <v>296</v>
      </c>
      <c r="P185" s="17"/>
      <c r="Q185" s="63">
        <f>--ISNUMBER(IF(StatusBranchGrade[[#This Row],[Sponsor0]] = 'Calculation Worksheet'!$AV$6 &amp; "  /  " &amp; 'Calculation Worksheet'!$AV$7, 1, ""))</f>
        <v>0</v>
      </c>
      <c r="R185" s="63" t="str">
        <f>IF(StatusBranchGrade[[#This Row],[S1]] = 1, COUNTIF($Q$3:Q185, 1), "")</f>
        <v/>
      </c>
      <c r="S185" s="63" t="str">
        <f>IFERROR(INDEX(StatusBranchGrade[Rank/Grade], MATCH(ROWS($R$3:R185)-1, StatusBranchGrade[S2], 0)), "") &amp; ""</f>
        <v/>
      </c>
      <c r="T185" s="63">
        <f>--ISNUMBER(IF(StatusBranchGrade[[#This Row],[Spouse0]] = 'Calculation Worksheet'!$CG$6 &amp; "  /  " &amp; 'Calculation Worksheet'!$CG$7, 1, ""))</f>
        <v>0</v>
      </c>
      <c r="U185" s="63" t="str">
        <f>IF(StatusBranchGrade[[#This Row],[T1]] = 1, COUNTIF($T$3:T185, 1), "")</f>
        <v/>
      </c>
      <c r="V185" s="63" t="str">
        <f>IFERROR(INDEX(StatusBranchGrade[Rank/Grade], MATCH(ROWS($U$3:U185)-1, StatusBranchGrade[T2], 0)), "") &amp; ""</f>
        <v/>
      </c>
      <c r="W185" s="63"/>
    </row>
    <row r="186" spans="1:23" x14ac:dyDescent="0.25">
      <c r="A186">
        <v>5</v>
      </c>
      <c r="B186" t="s">
        <v>216</v>
      </c>
      <c r="C186" t="s">
        <v>183</v>
      </c>
      <c r="D186" t="s">
        <v>99</v>
      </c>
      <c r="E186" t="str">
        <f>IF(StatusBranchGrade[[#This Row],[Status]] = "CYS", "DoD", StatusBranchGrade[[#This Row],[Rank]] &amp; "")</f>
        <v>E-7</v>
      </c>
      <c r="F186" t="s">
        <v>99</v>
      </c>
      <c r="G186" t="str">
        <f>IF(StatusBranchGrade[[#This Row],[Rank]] = StatusBranchGrade[[#This Row],[Grade]], StatusBranchGrade[[#This Row],[Rank]], StatusBranchGrade[[#This Row],[Grade]] &amp; "/" &amp; StatusBranchGrade[[#This Row],[Rank]]) &amp; ""</f>
        <v>E-7</v>
      </c>
      <c r="H18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E-7</v>
      </c>
      <c r="I186" s="17" t="str">
        <f>SUBSTITUTE(SUBSTITUTE(SUBSTITUTE(StatusBranchGrade[[#This Row],[Status]] &amp; "  /  " &amp; StatusBranchGrade[[#This Row],[Branch]] &amp; ";", "  /  ;", ";"), "  /  ;", ";"), ";", "")</f>
        <v>Active Duty  /  Air Force</v>
      </c>
      <c r="J186">
        <v>12</v>
      </c>
      <c r="K186" s="17" t="str">
        <f>IF(LEFT(StatusBranchGrade[[#This Row],[Which]], 1) = "1", StatusBranchGrade[[#This Row],[Key]], "")</f>
        <v>Active Duty  /  Air Force  /  E-7</v>
      </c>
      <c r="L186" s="17" t="str">
        <f>IF(LEFT(StatusBranchGrade[[#This Row],[Which]], 1) = "1", StatusBranchGrade[[#This Row],[Key0]], "")</f>
        <v>Active Duty  /  Air Force</v>
      </c>
      <c r="M186" s="17" t="str">
        <f>IF(RIGHT(StatusBranchGrade[[#This Row],[Which]], 1) = "2", StatusBranchGrade[[#This Row],[Key]], "")</f>
        <v>Active Duty  /  Air Force  /  E-7</v>
      </c>
      <c r="N186" s="17" t="str">
        <f>IF(RIGHT(StatusBranchGrade[[#This Row],[Which]], 1) = "2", StatusBranchGrade[[#This Row],[Key0]], "")</f>
        <v>Active Duty  /  Air Force</v>
      </c>
      <c r="O186" s="17" t="s">
        <v>296</v>
      </c>
      <c r="P186" s="17"/>
      <c r="Q186" s="63">
        <f>--ISNUMBER(IF(StatusBranchGrade[[#This Row],[Sponsor0]] = 'Calculation Worksheet'!$AV$6 &amp; "  /  " &amp; 'Calculation Worksheet'!$AV$7, 1, ""))</f>
        <v>0</v>
      </c>
      <c r="R186" s="63" t="str">
        <f>IF(StatusBranchGrade[[#This Row],[S1]] = 1, COUNTIF($Q$3:Q186, 1), "")</f>
        <v/>
      </c>
      <c r="S186" s="63" t="str">
        <f>IFERROR(INDEX(StatusBranchGrade[Rank/Grade], MATCH(ROWS($R$3:R186)-1, StatusBranchGrade[S2], 0)), "") &amp; ""</f>
        <v/>
      </c>
      <c r="T186" s="63">
        <f>--ISNUMBER(IF(StatusBranchGrade[[#This Row],[Spouse0]] = 'Calculation Worksheet'!$CG$6 &amp; "  /  " &amp; 'Calculation Worksheet'!$CG$7, 1, ""))</f>
        <v>0</v>
      </c>
      <c r="U186" s="63" t="str">
        <f>IF(StatusBranchGrade[[#This Row],[T1]] = 1, COUNTIF($T$3:T186, 1), "")</f>
        <v/>
      </c>
      <c r="V186" s="63" t="str">
        <f>IFERROR(INDEX(StatusBranchGrade[Rank/Grade], MATCH(ROWS($U$3:U186)-1, StatusBranchGrade[T2], 0)), "") &amp; ""</f>
        <v/>
      </c>
      <c r="W186" s="63"/>
    </row>
    <row r="187" spans="1:23" x14ac:dyDescent="0.25">
      <c r="A187">
        <v>5</v>
      </c>
      <c r="B187" t="s">
        <v>216</v>
      </c>
      <c r="C187" t="s">
        <v>183</v>
      </c>
      <c r="D187" t="s">
        <v>98</v>
      </c>
      <c r="E187" t="str">
        <f>IF(StatusBranchGrade[[#This Row],[Status]] = "CYS", "DoD", StatusBranchGrade[[#This Row],[Rank]] &amp; "")</f>
        <v>E-8</v>
      </c>
      <c r="F187" t="s">
        <v>98</v>
      </c>
      <c r="G187" t="str">
        <f>IF(StatusBranchGrade[[#This Row],[Rank]] = StatusBranchGrade[[#This Row],[Grade]], StatusBranchGrade[[#This Row],[Rank]], StatusBranchGrade[[#This Row],[Grade]] &amp; "/" &amp; StatusBranchGrade[[#This Row],[Rank]]) &amp; ""</f>
        <v>E-8</v>
      </c>
      <c r="H18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E-8</v>
      </c>
      <c r="I187" s="17" t="str">
        <f>SUBSTITUTE(SUBSTITUTE(SUBSTITUTE(StatusBranchGrade[[#This Row],[Status]] &amp; "  /  " &amp; StatusBranchGrade[[#This Row],[Branch]] &amp; ";", "  /  ;", ";"), "  /  ;", ";"), ";", "")</f>
        <v>Active Duty  /  Air Force</v>
      </c>
      <c r="J187">
        <v>12</v>
      </c>
      <c r="K187" s="17" t="str">
        <f>IF(LEFT(StatusBranchGrade[[#This Row],[Which]], 1) = "1", StatusBranchGrade[[#This Row],[Key]], "")</f>
        <v>Active Duty  /  Air Force  /  E-8</v>
      </c>
      <c r="L187" s="17" t="str">
        <f>IF(LEFT(StatusBranchGrade[[#This Row],[Which]], 1) = "1", StatusBranchGrade[[#This Row],[Key0]], "")</f>
        <v>Active Duty  /  Air Force</v>
      </c>
      <c r="M187" s="17" t="str">
        <f>IF(RIGHT(StatusBranchGrade[[#This Row],[Which]], 1) = "2", StatusBranchGrade[[#This Row],[Key]], "")</f>
        <v>Active Duty  /  Air Force  /  E-8</v>
      </c>
      <c r="N187" s="17" t="str">
        <f>IF(RIGHT(StatusBranchGrade[[#This Row],[Which]], 1) = "2", StatusBranchGrade[[#This Row],[Key0]], "")</f>
        <v>Active Duty  /  Air Force</v>
      </c>
      <c r="O187" s="17" t="s">
        <v>296</v>
      </c>
      <c r="P187" s="17"/>
      <c r="Q187" s="63">
        <f>--ISNUMBER(IF(StatusBranchGrade[[#This Row],[Sponsor0]] = 'Calculation Worksheet'!$AV$6 &amp; "  /  " &amp; 'Calculation Worksheet'!$AV$7, 1, ""))</f>
        <v>0</v>
      </c>
      <c r="R187" s="63" t="str">
        <f>IF(StatusBranchGrade[[#This Row],[S1]] = 1, COUNTIF($Q$3:Q187, 1), "")</f>
        <v/>
      </c>
      <c r="S187" s="63" t="str">
        <f>IFERROR(INDEX(StatusBranchGrade[Rank/Grade], MATCH(ROWS($R$3:R187)-1, StatusBranchGrade[S2], 0)), "") &amp; ""</f>
        <v/>
      </c>
      <c r="T187" s="63">
        <f>--ISNUMBER(IF(StatusBranchGrade[[#This Row],[Spouse0]] = 'Calculation Worksheet'!$CG$6 &amp; "  /  " &amp; 'Calculation Worksheet'!$CG$7, 1, ""))</f>
        <v>0</v>
      </c>
      <c r="U187" s="63" t="str">
        <f>IF(StatusBranchGrade[[#This Row],[T1]] = 1, COUNTIF($T$3:T187, 1), "")</f>
        <v/>
      </c>
      <c r="V187" s="63" t="str">
        <f>IFERROR(INDEX(StatusBranchGrade[Rank/Grade], MATCH(ROWS($U$3:U187)-1, StatusBranchGrade[T2], 0)), "") &amp; ""</f>
        <v/>
      </c>
      <c r="W187" s="63"/>
    </row>
    <row r="188" spans="1:23" x14ac:dyDescent="0.25">
      <c r="A188">
        <v>5</v>
      </c>
      <c r="B188" t="s">
        <v>216</v>
      </c>
      <c r="C188" t="s">
        <v>183</v>
      </c>
      <c r="D188" t="s">
        <v>97</v>
      </c>
      <c r="E188" t="str">
        <f>IF(StatusBranchGrade[[#This Row],[Status]] = "CYS", "DoD", StatusBranchGrade[[#This Row],[Rank]] &amp; "")</f>
        <v>E-9</v>
      </c>
      <c r="F188" t="s">
        <v>97</v>
      </c>
      <c r="G188" t="str">
        <f>IF(StatusBranchGrade[[#This Row],[Rank]] = StatusBranchGrade[[#This Row],[Grade]], StatusBranchGrade[[#This Row],[Rank]], StatusBranchGrade[[#This Row],[Grade]] &amp; "/" &amp; StatusBranchGrade[[#This Row],[Rank]]) &amp; ""</f>
        <v>E-9</v>
      </c>
      <c r="H18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E-9</v>
      </c>
      <c r="I188" s="17" t="str">
        <f>SUBSTITUTE(SUBSTITUTE(SUBSTITUTE(StatusBranchGrade[[#This Row],[Status]] &amp; "  /  " &amp; StatusBranchGrade[[#This Row],[Branch]] &amp; ";", "  /  ;", ";"), "  /  ;", ";"), ";", "")</f>
        <v>Active Duty  /  Air Force</v>
      </c>
      <c r="J188">
        <v>12</v>
      </c>
      <c r="K188" s="17" t="str">
        <f>IF(LEFT(StatusBranchGrade[[#This Row],[Which]], 1) = "1", StatusBranchGrade[[#This Row],[Key]], "")</f>
        <v>Active Duty  /  Air Force  /  E-9</v>
      </c>
      <c r="L188" s="17" t="str">
        <f>IF(LEFT(StatusBranchGrade[[#This Row],[Which]], 1) = "1", StatusBranchGrade[[#This Row],[Key0]], "")</f>
        <v>Active Duty  /  Air Force</v>
      </c>
      <c r="M188" s="17" t="str">
        <f>IF(RIGHT(StatusBranchGrade[[#This Row],[Which]], 1) = "2", StatusBranchGrade[[#This Row],[Key]], "")</f>
        <v>Active Duty  /  Air Force  /  E-9</v>
      </c>
      <c r="N188" s="17" t="str">
        <f>IF(RIGHT(StatusBranchGrade[[#This Row],[Which]], 1) = "2", StatusBranchGrade[[#This Row],[Key0]], "")</f>
        <v>Active Duty  /  Air Force</v>
      </c>
      <c r="O188" s="17" t="s">
        <v>296</v>
      </c>
      <c r="P188" s="17"/>
      <c r="Q188" s="63">
        <f>--ISNUMBER(IF(StatusBranchGrade[[#This Row],[Sponsor0]] = 'Calculation Worksheet'!$AV$6 &amp; "  /  " &amp; 'Calculation Worksheet'!$AV$7, 1, ""))</f>
        <v>0</v>
      </c>
      <c r="R188" s="63" t="str">
        <f>IF(StatusBranchGrade[[#This Row],[S1]] = 1, COUNTIF($Q$3:Q188, 1), "")</f>
        <v/>
      </c>
      <c r="S188" s="63" t="str">
        <f>IFERROR(INDEX(StatusBranchGrade[Rank/Grade], MATCH(ROWS($R$3:R188)-1, StatusBranchGrade[S2], 0)), "") &amp; ""</f>
        <v/>
      </c>
      <c r="T188" s="63">
        <f>--ISNUMBER(IF(StatusBranchGrade[[#This Row],[Spouse0]] = 'Calculation Worksheet'!$CG$6 &amp; "  /  " &amp; 'Calculation Worksheet'!$CG$7, 1, ""))</f>
        <v>0</v>
      </c>
      <c r="U188" s="63" t="str">
        <f>IF(StatusBranchGrade[[#This Row],[T1]] = 1, COUNTIF($T$3:T188, 1), "")</f>
        <v/>
      </c>
      <c r="V188" s="63" t="str">
        <f>IFERROR(INDEX(StatusBranchGrade[Rank/Grade], MATCH(ROWS($U$3:U188)-1, StatusBranchGrade[T2], 0)), "") &amp; ""</f>
        <v/>
      </c>
      <c r="W188" s="63"/>
    </row>
    <row r="189" spans="1:23" x14ac:dyDescent="0.25">
      <c r="A189">
        <v>5</v>
      </c>
      <c r="B189" t="s">
        <v>216</v>
      </c>
      <c r="C189" t="s">
        <v>183</v>
      </c>
      <c r="D189" t="s">
        <v>91</v>
      </c>
      <c r="E189" t="str">
        <f>IF(StatusBranchGrade[[#This Row],[Status]] = "CYS", "DoD", StatusBranchGrade[[#This Row],[Rank]] &amp; "")</f>
        <v>O-1</v>
      </c>
      <c r="F189" t="s">
        <v>91</v>
      </c>
      <c r="G189" t="str">
        <f>IF(StatusBranchGrade[[#This Row],[Rank]] = StatusBranchGrade[[#This Row],[Grade]], StatusBranchGrade[[#This Row],[Rank]], StatusBranchGrade[[#This Row],[Grade]] &amp; "/" &amp; StatusBranchGrade[[#This Row],[Rank]]) &amp; ""</f>
        <v>O-1</v>
      </c>
      <c r="H18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O-1</v>
      </c>
      <c r="I189" s="17" t="str">
        <f>SUBSTITUTE(SUBSTITUTE(SUBSTITUTE(StatusBranchGrade[[#This Row],[Status]] &amp; "  /  " &amp; StatusBranchGrade[[#This Row],[Branch]] &amp; ";", "  /  ;", ";"), "  /  ;", ";"), ";", "")</f>
        <v>Active Duty  /  Air Force</v>
      </c>
      <c r="J189">
        <v>12</v>
      </c>
      <c r="K189" s="17" t="str">
        <f>IF(LEFT(StatusBranchGrade[[#This Row],[Which]], 1) = "1", StatusBranchGrade[[#This Row],[Key]], "")</f>
        <v>Active Duty  /  Air Force  /  O-1</v>
      </c>
      <c r="L189" s="17" t="str">
        <f>IF(LEFT(StatusBranchGrade[[#This Row],[Which]], 1) = "1", StatusBranchGrade[[#This Row],[Key0]], "")</f>
        <v>Active Duty  /  Air Force</v>
      </c>
      <c r="M189" s="17" t="str">
        <f>IF(RIGHT(StatusBranchGrade[[#This Row],[Which]], 1) = "2", StatusBranchGrade[[#This Row],[Key]], "")</f>
        <v>Active Duty  /  Air Force  /  O-1</v>
      </c>
      <c r="N189" s="17" t="str">
        <f>IF(RIGHT(StatusBranchGrade[[#This Row],[Which]], 1) = "2", StatusBranchGrade[[#This Row],[Key0]], "")</f>
        <v>Active Duty  /  Air Force</v>
      </c>
      <c r="O189" s="17" t="s">
        <v>296</v>
      </c>
      <c r="P189" s="17"/>
      <c r="Q189" s="63">
        <f>--ISNUMBER(IF(StatusBranchGrade[[#This Row],[Sponsor0]] = 'Calculation Worksheet'!$AV$6 &amp; "  /  " &amp; 'Calculation Worksheet'!$AV$7, 1, ""))</f>
        <v>0</v>
      </c>
      <c r="R189" s="63" t="str">
        <f>IF(StatusBranchGrade[[#This Row],[S1]] = 1, COUNTIF($Q$3:Q189, 1), "")</f>
        <v/>
      </c>
      <c r="S189" s="63" t="str">
        <f>IFERROR(INDEX(StatusBranchGrade[Rank/Grade], MATCH(ROWS($R$3:R189)-1, StatusBranchGrade[S2], 0)), "") &amp; ""</f>
        <v/>
      </c>
      <c r="T189" s="63">
        <f>--ISNUMBER(IF(StatusBranchGrade[[#This Row],[Spouse0]] = 'Calculation Worksheet'!$CG$6 &amp; "  /  " &amp; 'Calculation Worksheet'!$CG$7, 1, ""))</f>
        <v>0</v>
      </c>
      <c r="U189" s="63" t="str">
        <f>IF(StatusBranchGrade[[#This Row],[T1]] = 1, COUNTIF($T$3:T189, 1), "")</f>
        <v/>
      </c>
      <c r="V189" s="63" t="str">
        <f>IFERROR(INDEX(StatusBranchGrade[Rank/Grade], MATCH(ROWS($U$3:U189)-1, StatusBranchGrade[T2], 0)), "") &amp; ""</f>
        <v/>
      </c>
      <c r="W189" s="63"/>
    </row>
    <row r="190" spans="1:23" x14ac:dyDescent="0.25">
      <c r="A190">
        <v>5</v>
      </c>
      <c r="B190" t="s">
        <v>216</v>
      </c>
      <c r="C190" t="s">
        <v>183</v>
      </c>
      <c r="D190" s="75" t="s">
        <v>10</v>
      </c>
      <c r="E190" s="75" t="str">
        <f>IF(StatusBranchGrade[[#This Row],[Status]] = "CYS", "DoD", StatusBranchGrade[[#This Row],[Rank]] &amp; "")</f>
        <v>O1E</v>
      </c>
      <c r="F190" s="75" t="s">
        <v>91</v>
      </c>
      <c r="G190" s="75" t="str">
        <f>IF(StatusBranchGrade[[#This Row],[Rank]] = StatusBranchGrade[[#This Row],[Grade]], StatusBranchGrade[[#This Row],[Rank]], StatusBranchGrade[[#This Row],[Grade]] &amp; "/" &amp; StatusBranchGrade[[#This Row],[Rank]]) &amp; ""</f>
        <v>O-1/O1E</v>
      </c>
      <c r="H19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O-1/O1E</v>
      </c>
      <c r="I190" s="17" t="str">
        <f>SUBSTITUTE(SUBSTITUTE(SUBSTITUTE(StatusBranchGrade[[#This Row],[Status]] &amp; "  /  " &amp; StatusBranchGrade[[#This Row],[Branch]] &amp; ";", "  /  ;", ";"), "  /  ;", ";"), ";", "")</f>
        <v>Active Duty  /  Air Force</v>
      </c>
      <c r="J190">
        <v>12</v>
      </c>
      <c r="K190" s="17" t="str">
        <f>IF(LEFT(StatusBranchGrade[[#This Row],[Which]], 1) = "1", StatusBranchGrade[[#This Row],[Key]], "")</f>
        <v>Active Duty  /  Air Force  /  O-1/O1E</v>
      </c>
      <c r="L190" s="17" t="str">
        <f>IF(LEFT(StatusBranchGrade[[#This Row],[Which]], 1) = "1", StatusBranchGrade[[#This Row],[Key0]], "")</f>
        <v>Active Duty  /  Air Force</v>
      </c>
      <c r="M190" s="17" t="str">
        <f>IF(RIGHT(StatusBranchGrade[[#This Row],[Which]], 1) = "2", StatusBranchGrade[[#This Row],[Key]], "")</f>
        <v>Active Duty  /  Air Force  /  O-1/O1E</v>
      </c>
      <c r="N190" s="17" t="str">
        <f>IF(RIGHT(StatusBranchGrade[[#This Row],[Which]], 1) = "2", StatusBranchGrade[[#This Row],[Key0]], "")</f>
        <v>Active Duty  /  Air Force</v>
      </c>
      <c r="O190" s="17" t="s">
        <v>296</v>
      </c>
      <c r="P190" s="17"/>
      <c r="Q190" s="63">
        <f>--ISNUMBER(IF(StatusBranchGrade[[#This Row],[Sponsor0]] = 'Calculation Worksheet'!$AV$6 &amp; "  /  " &amp; 'Calculation Worksheet'!$AV$7, 1, ""))</f>
        <v>0</v>
      </c>
      <c r="R190" s="63" t="str">
        <f>IF(StatusBranchGrade[[#This Row],[S1]] = 1, COUNTIF($Q$3:Q190, 1), "")</f>
        <v/>
      </c>
      <c r="S190" s="63" t="str">
        <f>IFERROR(INDEX(StatusBranchGrade[Rank/Grade], MATCH(ROWS($R$3:R190)-1, StatusBranchGrade[S2], 0)), "") &amp; ""</f>
        <v/>
      </c>
      <c r="T190" s="63">
        <f>--ISNUMBER(IF(StatusBranchGrade[[#This Row],[Spouse0]] = 'Calculation Worksheet'!$CG$6 &amp; "  /  " &amp; 'Calculation Worksheet'!$CG$7, 1, ""))</f>
        <v>0</v>
      </c>
      <c r="U190" s="63" t="str">
        <f>IF(StatusBranchGrade[[#This Row],[T1]] = 1, COUNTIF($T$3:T190, 1), "")</f>
        <v/>
      </c>
      <c r="V190" s="63" t="str">
        <f>IFERROR(INDEX(StatusBranchGrade[Rank/Grade], MATCH(ROWS($U$3:U190)-1, StatusBranchGrade[T2], 0)), "") &amp; ""</f>
        <v/>
      </c>
      <c r="W190" s="63"/>
    </row>
    <row r="191" spans="1:23" x14ac:dyDescent="0.25">
      <c r="A191">
        <v>5</v>
      </c>
      <c r="B191" t="s">
        <v>216</v>
      </c>
      <c r="C191" t="s">
        <v>183</v>
      </c>
      <c r="D191" t="s">
        <v>82</v>
      </c>
      <c r="E191" t="str">
        <f>IF(StatusBranchGrade[[#This Row],[Status]] = "CYS", "DoD", StatusBranchGrade[[#This Row],[Rank]] &amp; "")</f>
        <v>O-10</v>
      </c>
      <c r="F191" t="s">
        <v>82</v>
      </c>
      <c r="G191" t="str">
        <f>IF(StatusBranchGrade[[#This Row],[Rank]] = StatusBranchGrade[[#This Row],[Grade]], StatusBranchGrade[[#This Row],[Rank]], StatusBranchGrade[[#This Row],[Grade]] &amp; "/" &amp; StatusBranchGrade[[#This Row],[Rank]]) &amp; ""</f>
        <v>O-10</v>
      </c>
      <c r="H19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O-10</v>
      </c>
      <c r="I191" s="17" t="str">
        <f>SUBSTITUTE(SUBSTITUTE(SUBSTITUTE(StatusBranchGrade[[#This Row],[Status]] &amp; "  /  " &amp; StatusBranchGrade[[#This Row],[Branch]] &amp; ";", "  /  ;", ";"), "  /  ;", ";"), ";", "")</f>
        <v>Active Duty  /  Air Force</v>
      </c>
      <c r="J191">
        <v>12</v>
      </c>
      <c r="K191" s="17" t="str">
        <f>IF(LEFT(StatusBranchGrade[[#This Row],[Which]], 1) = "1", StatusBranchGrade[[#This Row],[Key]], "")</f>
        <v>Active Duty  /  Air Force  /  O-10</v>
      </c>
      <c r="L191" s="17" t="str">
        <f>IF(LEFT(StatusBranchGrade[[#This Row],[Which]], 1) = "1", StatusBranchGrade[[#This Row],[Key0]], "")</f>
        <v>Active Duty  /  Air Force</v>
      </c>
      <c r="M191" s="17" t="str">
        <f>IF(RIGHT(StatusBranchGrade[[#This Row],[Which]], 1) = "2", StatusBranchGrade[[#This Row],[Key]], "")</f>
        <v>Active Duty  /  Air Force  /  O-10</v>
      </c>
      <c r="N191" s="17" t="str">
        <f>IF(RIGHT(StatusBranchGrade[[#This Row],[Which]], 1) = "2", StatusBranchGrade[[#This Row],[Key0]], "")</f>
        <v>Active Duty  /  Air Force</v>
      </c>
      <c r="O191" s="17" t="s">
        <v>296</v>
      </c>
      <c r="P191" s="17"/>
      <c r="Q191" s="63">
        <f>--ISNUMBER(IF(StatusBranchGrade[[#This Row],[Sponsor0]] = 'Calculation Worksheet'!$AV$6 &amp; "  /  " &amp; 'Calculation Worksheet'!$AV$7, 1, ""))</f>
        <v>0</v>
      </c>
      <c r="R191" s="63" t="str">
        <f>IF(StatusBranchGrade[[#This Row],[S1]] = 1, COUNTIF($Q$3:Q191, 1), "")</f>
        <v/>
      </c>
      <c r="S191" s="63" t="str">
        <f>IFERROR(INDEX(StatusBranchGrade[Rank/Grade], MATCH(ROWS($R$3:R191)-1, StatusBranchGrade[S2], 0)), "") &amp; ""</f>
        <v/>
      </c>
      <c r="T191" s="63">
        <f>--ISNUMBER(IF(StatusBranchGrade[[#This Row],[Spouse0]] = 'Calculation Worksheet'!$CG$6 &amp; "  /  " &amp; 'Calculation Worksheet'!$CG$7, 1, ""))</f>
        <v>0</v>
      </c>
      <c r="U191" s="63" t="str">
        <f>IF(StatusBranchGrade[[#This Row],[T1]] = 1, COUNTIF($T$3:T191, 1), "")</f>
        <v/>
      </c>
      <c r="V191" s="63" t="str">
        <f>IFERROR(INDEX(StatusBranchGrade[Rank/Grade], MATCH(ROWS($U$3:U191)-1, StatusBranchGrade[T2], 0)), "") &amp; ""</f>
        <v/>
      </c>
      <c r="W191" s="63"/>
    </row>
    <row r="192" spans="1:23" x14ac:dyDescent="0.25">
      <c r="A192">
        <v>5</v>
      </c>
      <c r="B192" t="s">
        <v>216</v>
      </c>
      <c r="C192" t="s">
        <v>183</v>
      </c>
      <c r="D192" t="s">
        <v>90</v>
      </c>
      <c r="E192" t="str">
        <f>IF(StatusBranchGrade[[#This Row],[Status]] = "CYS", "DoD", StatusBranchGrade[[#This Row],[Rank]] &amp; "")</f>
        <v>O-2</v>
      </c>
      <c r="F192" t="s">
        <v>90</v>
      </c>
      <c r="G192" t="str">
        <f>IF(StatusBranchGrade[[#This Row],[Rank]] = StatusBranchGrade[[#This Row],[Grade]], StatusBranchGrade[[#This Row],[Rank]], StatusBranchGrade[[#This Row],[Grade]] &amp; "/" &amp; StatusBranchGrade[[#This Row],[Rank]]) &amp; ""</f>
        <v>O-2</v>
      </c>
      <c r="H19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O-2</v>
      </c>
      <c r="I192" s="17" t="str">
        <f>SUBSTITUTE(SUBSTITUTE(SUBSTITUTE(StatusBranchGrade[[#This Row],[Status]] &amp; "  /  " &amp; StatusBranchGrade[[#This Row],[Branch]] &amp; ";", "  /  ;", ";"), "  /  ;", ";"), ";", "")</f>
        <v>Active Duty  /  Air Force</v>
      </c>
      <c r="J192">
        <v>12</v>
      </c>
      <c r="K192" s="17" t="str">
        <f>IF(LEFT(StatusBranchGrade[[#This Row],[Which]], 1) = "1", StatusBranchGrade[[#This Row],[Key]], "")</f>
        <v>Active Duty  /  Air Force  /  O-2</v>
      </c>
      <c r="L192" s="17" t="str">
        <f>IF(LEFT(StatusBranchGrade[[#This Row],[Which]], 1) = "1", StatusBranchGrade[[#This Row],[Key0]], "")</f>
        <v>Active Duty  /  Air Force</v>
      </c>
      <c r="M192" s="17" t="str">
        <f>IF(RIGHT(StatusBranchGrade[[#This Row],[Which]], 1) = "2", StatusBranchGrade[[#This Row],[Key]], "")</f>
        <v>Active Duty  /  Air Force  /  O-2</v>
      </c>
      <c r="N192" s="17" t="str">
        <f>IF(RIGHT(StatusBranchGrade[[#This Row],[Which]], 1) = "2", StatusBranchGrade[[#This Row],[Key0]], "")</f>
        <v>Active Duty  /  Air Force</v>
      </c>
      <c r="O192" s="17" t="s">
        <v>296</v>
      </c>
      <c r="P192" s="17"/>
      <c r="Q192" s="63">
        <f>--ISNUMBER(IF(StatusBranchGrade[[#This Row],[Sponsor0]] = 'Calculation Worksheet'!$AV$6 &amp; "  /  " &amp; 'Calculation Worksheet'!$AV$7, 1, ""))</f>
        <v>0</v>
      </c>
      <c r="R192" s="63" t="str">
        <f>IF(StatusBranchGrade[[#This Row],[S1]] = 1, COUNTIF($Q$3:Q192, 1), "")</f>
        <v/>
      </c>
      <c r="S192" s="63" t="str">
        <f>IFERROR(INDEX(StatusBranchGrade[Rank/Grade], MATCH(ROWS($R$3:R192)-1, StatusBranchGrade[S2], 0)), "") &amp; ""</f>
        <v/>
      </c>
      <c r="T192" s="63">
        <f>--ISNUMBER(IF(StatusBranchGrade[[#This Row],[Spouse0]] = 'Calculation Worksheet'!$CG$6 &amp; "  /  " &amp; 'Calculation Worksheet'!$CG$7, 1, ""))</f>
        <v>0</v>
      </c>
      <c r="U192" s="63" t="str">
        <f>IF(StatusBranchGrade[[#This Row],[T1]] = 1, COUNTIF($T$3:T192, 1), "")</f>
        <v/>
      </c>
      <c r="V192" s="63" t="str">
        <f>IFERROR(INDEX(StatusBranchGrade[Rank/Grade], MATCH(ROWS($U$3:U192)-1, StatusBranchGrade[T2], 0)), "") &amp; ""</f>
        <v/>
      </c>
      <c r="W192" s="63"/>
    </row>
    <row r="193" spans="1:23" x14ac:dyDescent="0.25">
      <c r="A193">
        <v>5</v>
      </c>
      <c r="B193" t="s">
        <v>216</v>
      </c>
      <c r="C193" t="s">
        <v>183</v>
      </c>
      <c r="D193" s="75" t="s">
        <v>11</v>
      </c>
      <c r="E193" s="75" t="str">
        <f>IF(StatusBranchGrade[[#This Row],[Status]] = "CYS", "DoD", StatusBranchGrade[[#This Row],[Rank]] &amp; "")</f>
        <v>O2E</v>
      </c>
      <c r="F193" s="75" t="s">
        <v>90</v>
      </c>
      <c r="G193" s="75" t="str">
        <f>IF(StatusBranchGrade[[#This Row],[Rank]] = StatusBranchGrade[[#This Row],[Grade]], StatusBranchGrade[[#This Row],[Rank]], StatusBranchGrade[[#This Row],[Grade]] &amp; "/" &amp; StatusBranchGrade[[#This Row],[Rank]]) &amp; ""</f>
        <v>O-2/O2E</v>
      </c>
      <c r="H19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O-2/O2E</v>
      </c>
      <c r="I193" s="17" t="str">
        <f>SUBSTITUTE(SUBSTITUTE(SUBSTITUTE(StatusBranchGrade[[#This Row],[Status]] &amp; "  /  " &amp; StatusBranchGrade[[#This Row],[Branch]] &amp; ";", "  /  ;", ";"), "  /  ;", ";"), ";", "")</f>
        <v>Active Duty  /  Air Force</v>
      </c>
      <c r="J193">
        <v>12</v>
      </c>
      <c r="K193" s="17" t="str">
        <f>IF(LEFT(StatusBranchGrade[[#This Row],[Which]], 1) = "1", StatusBranchGrade[[#This Row],[Key]], "")</f>
        <v>Active Duty  /  Air Force  /  O-2/O2E</v>
      </c>
      <c r="L193" s="17" t="str">
        <f>IF(LEFT(StatusBranchGrade[[#This Row],[Which]], 1) = "1", StatusBranchGrade[[#This Row],[Key0]], "")</f>
        <v>Active Duty  /  Air Force</v>
      </c>
      <c r="M193" s="17" t="str">
        <f>IF(RIGHT(StatusBranchGrade[[#This Row],[Which]], 1) = "2", StatusBranchGrade[[#This Row],[Key]], "")</f>
        <v>Active Duty  /  Air Force  /  O-2/O2E</v>
      </c>
      <c r="N193" s="17" t="str">
        <f>IF(RIGHT(StatusBranchGrade[[#This Row],[Which]], 1) = "2", StatusBranchGrade[[#This Row],[Key0]], "")</f>
        <v>Active Duty  /  Air Force</v>
      </c>
      <c r="O193" s="17" t="s">
        <v>296</v>
      </c>
      <c r="P193" s="17"/>
      <c r="Q193" s="63">
        <f>--ISNUMBER(IF(StatusBranchGrade[[#This Row],[Sponsor0]] = 'Calculation Worksheet'!$AV$6 &amp; "  /  " &amp; 'Calculation Worksheet'!$AV$7, 1, ""))</f>
        <v>0</v>
      </c>
      <c r="R193" s="63" t="str">
        <f>IF(StatusBranchGrade[[#This Row],[S1]] = 1, COUNTIF($Q$3:Q193, 1), "")</f>
        <v/>
      </c>
      <c r="S193" s="63" t="str">
        <f>IFERROR(INDEX(StatusBranchGrade[Rank/Grade], MATCH(ROWS($R$3:R193)-1, StatusBranchGrade[S2], 0)), "") &amp; ""</f>
        <v/>
      </c>
      <c r="T193" s="63">
        <f>--ISNUMBER(IF(StatusBranchGrade[[#This Row],[Spouse0]] = 'Calculation Worksheet'!$CG$6 &amp; "  /  " &amp; 'Calculation Worksheet'!$CG$7, 1, ""))</f>
        <v>0</v>
      </c>
      <c r="U193" s="63" t="str">
        <f>IF(StatusBranchGrade[[#This Row],[T1]] = 1, COUNTIF($T$3:T193, 1), "")</f>
        <v/>
      </c>
      <c r="V193" s="63" t="str">
        <f>IFERROR(INDEX(StatusBranchGrade[Rank/Grade], MATCH(ROWS($U$3:U193)-1, StatusBranchGrade[T2], 0)), "") &amp; ""</f>
        <v/>
      </c>
      <c r="W193" s="63"/>
    </row>
    <row r="194" spans="1:23" x14ac:dyDescent="0.25">
      <c r="A194">
        <v>5</v>
      </c>
      <c r="B194" t="s">
        <v>216</v>
      </c>
      <c r="C194" t="s">
        <v>183</v>
      </c>
      <c r="D194" t="s">
        <v>89</v>
      </c>
      <c r="E194" t="str">
        <f>IF(StatusBranchGrade[[#This Row],[Status]] = "CYS", "DoD", StatusBranchGrade[[#This Row],[Rank]] &amp; "")</f>
        <v>O-3</v>
      </c>
      <c r="F194" t="s">
        <v>89</v>
      </c>
      <c r="G194" t="str">
        <f>IF(StatusBranchGrade[[#This Row],[Rank]] = StatusBranchGrade[[#This Row],[Grade]], StatusBranchGrade[[#This Row],[Rank]], StatusBranchGrade[[#This Row],[Grade]] &amp; "/" &amp; StatusBranchGrade[[#This Row],[Rank]]) &amp; ""</f>
        <v>O-3</v>
      </c>
      <c r="H19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O-3</v>
      </c>
      <c r="I194" s="17" t="str">
        <f>SUBSTITUTE(SUBSTITUTE(SUBSTITUTE(StatusBranchGrade[[#This Row],[Status]] &amp; "  /  " &amp; StatusBranchGrade[[#This Row],[Branch]] &amp; ";", "  /  ;", ";"), "  /  ;", ";"), ";", "")</f>
        <v>Active Duty  /  Air Force</v>
      </c>
      <c r="J194">
        <v>12</v>
      </c>
      <c r="K194" s="17" t="str">
        <f>IF(LEFT(StatusBranchGrade[[#This Row],[Which]], 1) = "1", StatusBranchGrade[[#This Row],[Key]], "")</f>
        <v>Active Duty  /  Air Force  /  O-3</v>
      </c>
      <c r="L194" s="17" t="str">
        <f>IF(LEFT(StatusBranchGrade[[#This Row],[Which]], 1) = "1", StatusBranchGrade[[#This Row],[Key0]], "")</f>
        <v>Active Duty  /  Air Force</v>
      </c>
      <c r="M194" s="17" t="str">
        <f>IF(RIGHT(StatusBranchGrade[[#This Row],[Which]], 1) = "2", StatusBranchGrade[[#This Row],[Key]], "")</f>
        <v>Active Duty  /  Air Force  /  O-3</v>
      </c>
      <c r="N194" s="17" t="str">
        <f>IF(RIGHT(StatusBranchGrade[[#This Row],[Which]], 1) = "2", StatusBranchGrade[[#This Row],[Key0]], "")</f>
        <v>Active Duty  /  Air Force</v>
      </c>
      <c r="O194" s="17" t="s">
        <v>296</v>
      </c>
      <c r="P194" s="17"/>
      <c r="Q194" s="63">
        <f>--ISNUMBER(IF(StatusBranchGrade[[#This Row],[Sponsor0]] = 'Calculation Worksheet'!$AV$6 &amp; "  /  " &amp; 'Calculation Worksheet'!$AV$7, 1, ""))</f>
        <v>0</v>
      </c>
      <c r="R194" s="63" t="str">
        <f>IF(StatusBranchGrade[[#This Row],[S1]] = 1, COUNTIF($Q$3:Q194, 1), "")</f>
        <v/>
      </c>
      <c r="S194" s="63" t="str">
        <f>IFERROR(INDEX(StatusBranchGrade[Rank/Grade], MATCH(ROWS($R$3:R194)-1, StatusBranchGrade[S2], 0)), "") &amp; ""</f>
        <v/>
      </c>
      <c r="T194" s="63">
        <f>--ISNUMBER(IF(StatusBranchGrade[[#This Row],[Spouse0]] = 'Calculation Worksheet'!$CG$6 &amp; "  /  " &amp; 'Calculation Worksheet'!$CG$7, 1, ""))</f>
        <v>0</v>
      </c>
      <c r="U194" s="63" t="str">
        <f>IF(StatusBranchGrade[[#This Row],[T1]] = 1, COUNTIF($T$3:T194, 1), "")</f>
        <v/>
      </c>
      <c r="V194" s="63" t="str">
        <f>IFERROR(INDEX(StatusBranchGrade[Rank/Grade], MATCH(ROWS($U$3:U194)-1, StatusBranchGrade[T2], 0)), "") &amp; ""</f>
        <v/>
      </c>
      <c r="W194" s="63"/>
    </row>
    <row r="195" spans="1:23" x14ac:dyDescent="0.25">
      <c r="A195">
        <v>5</v>
      </c>
      <c r="B195" t="s">
        <v>216</v>
      </c>
      <c r="C195" t="s">
        <v>183</v>
      </c>
      <c r="D195" s="75" t="s">
        <v>12</v>
      </c>
      <c r="E195" s="75" t="str">
        <f>IF(StatusBranchGrade[[#This Row],[Status]] = "CYS", "DoD", StatusBranchGrade[[#This Row],[Rank]] &amp; "")</f>
        <v>O3E</v>
      </c>
      <c r="F195" s="75" t="s">
        <v>89</v>
      </c>
      <c r="G195" s="75" t="str">
        <f>IF(StatusBranchGrade[[#This Row],[Rank]] = StatusBranchGrade[[#This Row],[Grade]], StatusBranchGrade[[#This Row],[Rank]], StatusBranchGrade[[#This Row],[Grade]] &amp; "/" &amp; StatusBranchGrade[[#This Row],[Rank]]) &amp; ""</f>
        <v>O-3/O3E</v>
      </c>
      <c r="H19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O-3/O3E</v>
      </c>
      <c r="I195" s="17" t="str">
        <f>SUBSTITUTE(SUBSTITUTE(SUBSTITUTE(StatusBranchGrade[[#This Row],[Status]] &amp; "  /  " &amp; StatusBranchGrade[[#This Row],[Branch]] &amp; ";", "  /  ;", ";"), "  /  ;", ";"), ";", "")</f>
        <v>Active Duty  /  Air Force</v>
      </c>
      <c r="J195">
        <v>12</v>
      </c>
      <c r="K195" s="17" t="str">
        <f>IF(LEFT(StatusBranchGrade[[#This Row],[Which]], 1) = "1", StatusBranchGrade[[#This Row],[Key]], "")</f>
        <v>Active Duty  /  Air Force  /  O-3/O3E</v>
      </c>
      <c r="L195" s="17" t="str">
        <f>IF(LEFT(StatusBranchGrade[[#This Row],[Which]], 1) = "1", StatusBranchGrade[[#This Row],[Key0]], "")</f>
        <v>Active Duty  /  Air Force</v>
      </c>
      <c r="M195" s="17" t="str">
        <f>IF(RIGHT(StatusBranchGrade[[#This Row],[Which]], 1) = "2", StatusBranchGrade[[#This Row],[Key]], "")</f>
        <v>Active Duty  /  Air Force  /  O-3/O3E</v>
      </c>
      <c r="N195" s="17" t="str">
        <f>IF(RIGHT(StatusBranchGrade[[#This Row],[Which]], 1) = "2", StatusBranchGrade[[#This Row],[Key0]], "")</f>
        <v>Active Duty  /  Air Force</v>
      </c>
      <c r="O195" s="17" t="s">
        <v>296</v>
      </c>
      <c r="P195" s="17"/>
      <c r="Q195" s="63">
        <f>--ISNUMBER(IF(StatusBranchGrade[[#This Row],[Sponsor0]] = 'Calculation Worksheet'!$AV$6 &amp; "  /  " &amp; 'Calculation Worksheet'!$AV$7, 1, ""))</f>
        <v>0</v>
      </c>
      <c r="R195" s="63" t="str">
        <f>IF(StatusBranchGrade[[#This Row],[S1]] = 1, COUNTIF($Q$3:Q195, 1), "")</f>
        <v/>
      </c>
      <c r="S195" s="63" t="str">
        <f>IFERROR(INDEX(StatusBranchGrade[Rank/Grade], MATCH(ROWS($R$3:R195)-1, StatusBranchGrade[S2], 0)), "") &amp; ""</f>
        <v/>
      </c>
      <c r="T195" s="63">
        <f>--ISNUMBER(IF(StatusBranchGrade[[#This Row],[Spouse0]] = 'Calculation Worksheet'!$CG$6 &amp; "  /  " &amp; 'Calculation Worksheet'!$CG$7, 1, ""))</f>
        <v>0</v>
      </c>
      <c r="U195" s="63" t="str">
        <f>IF(StatusBranchGrade[[#This Row],[T1]] = 1, COUNTIF($T$3:T195, 1), "")</f>
        <v/>
      </c>
      <c r="V195" s="63" t="str">
        <f>IFERROR(INDEX(StatusBranchGrade[Rank/Grade], MATCH(ROWS($U$3:U195)-1, StatusBranchGrade[T2], 0)), "") &amp; ""</f>
        <v/>
      </c>
      <c r="W195" s="63"/>
    </row>
    <row r="196" spans="1:23" x14ac:dyDescent="0.25">
      <c r="A196">
        <v>5</v>
      </c>
      <c r="B196" t="s">
        <v>216</v>
      </c>
      <c r="C196" t="s">
        <v>183</v>
      </c>
      <c r="D196" t="s">
        <v>88</v>
      </c>
      <c r="E196" t="str">
        <f>IF(StatusBranchGrade[[#This Row],[Status]] = "CYS", "DoD", StatusBranchGrade[[#This Row],[Rank]] &amp; "")</f>
        <v>O-4</v>
      </c>
      <c r="F196" t="s">
        <v>88</v>
      </c>
      <c r="G196" t="str">
        <f>IF(StatusBranchGrade[[#This Row],[Rank]] = StatusBranchGrade[[#This Row],[Grade]], StatusBranchGrade[[#This Row],[Rank]], StatusBranchGrade[[#This Row],[Grade]] &amp; "/" &amp; StatusBranchGrade[[#This Row],[Rank]]) &amp; ""</f>
        <v>O-4</v>
      </c>
      <c r="H19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O-4</v>
      </c>
      <c r="I196" s="17" t="str">
        <f>SUBSTITUTE(SUBSTITUTE(SUBSTITUTE(StatusBranchGrade[[#This Row],[Status]] &amp; "  /  " &amp; StatusBranchGrade[[#This Row],[Branch]] &amp; ";", "  /  ;", ";"), "  /  ;", ";"), ";", "")</f>
        <v>Active Duty  /  Air Force</v>
      </c>
      <c r="J196">
        <v>12</v>
      </c>
      <c r="K196" s="17" t="str">
        <f>IF(LEFT(StatusBranchGrade[[#This Row],[Which]], 1) = "1", StatusBranchGrade[[#This Row],[Key]], "")</f>
        <v>Active Duty  /  Air Force  /  O-4</v>
      </c>
      <c r="L196" s="17" t="str">
        <f>IF(LEFT(StatusBranchGrade[[#This Row],[Which]], 1) = "1", StatusBranchGrade[[#This Row],[Key0]], "")</f>
        <v>Active Duty  /  Air Force</v>
      </c>
      <c r="M196" s="17" t="str">
        <f>IF(RIGHT(StatusBranchGrade[[#This Row],[Which]], 1) = "2", StatusBranchGrade[[#This Row],[Key]], "")</f>
        <v>Active Duty  /  Air Force  /  O-4</v>
      </c>
      <c r="N196" s="17" t="str">
        <f>IF(RIGHT(StatusBranchGrade[[#This Row],[Which]], 1) = "2", StatusBranchGrade[[#This Row],[Key0]], "")</f>
        <v>Active Duty  /  Air Force</v>
      </c>
      <c r="O196" s="17" t="s">
        <v>296</v>
      </c>
      <c r="P196" s="17"/>
      <c r="Q196" s="63">
        <f>--ISNUMBER(IF(StatusBranchGrade[[#This Row],[Sponsor0]] = 'Calculation Worksheet'!$AV$6 &amp; "  /  " &amp; 'Calculation Worksheet'!$AV$7, 1, ""))</f>
        <v>0</v>
      </c>
      <c r="R196" s="63" t="str">
        <f>IF(StatusBranchGrade[[#This Row],[S1]] = 1, COUNTIF($Q$3:Q196, 1), "")</f>
        <v/>
      </c>
      <c r="S196" s="63" t="str">
        <f>IFERROR(INDEX(StatusBranchGrade[Rank/Grade], MATCH(ROWS($R$3:R196)-1, StatusBranchGrade[S2], 0)), "") &amp; ""</f>
        <v/>
      </c>
      <c r="T196" s="63">
        <f>--ISNUMBER(IF(StatusBranchGrade[[#This Row],[Spouse0]] = 'Calculation Worksheet'!$CG$6 &amp; "  /  " &amp; 'Calculation Worksheet'!$CG$7, 1, ""))</f>
        <v>0</v>
      </c>
      <c r="U196" s="63" t="str">
        <f>IF(StatusBranchGrade[[#This Row],[T1]] = 1, COUNTIF($T$3:T196, 1), "")</f>
        <v/>
      </c>
      <c r="V196" s="63" t="str">
        <f>IFERROR(INDEX(StatusBranchGrade[Rank/Grade], MATCH(ROWS($U$3:U196)-1, StatusBranchGrade[T2], 0)), "") &amp; ""</f>
        <v/>
      </c>
      <c r="W196" s="63"/>
    </row>
    <row r="197" spans="1:23" x14ac:dyDescent="0.25">
      <c r="A197">
        <v>5</v>
      </c>
      <c r="B197" t="s">
        <v>216</v>
      </c>
      <c r="C197" t="s">
        <v>183</v>
      </c>
      <c r="D197" t="s">
        <v>87</v>
      </c>
      <c r="E197" t="str">
        <f>IF(StatusBranchGrade[[#This Row],[Status]] = "CYS", "DoD", StatusBranchGrade[[#This Row],[Rank]] &amp; "")</f>
        <v>O-5</v>
      </c>
      <c r="F197" t="s">
        <v>87</v>
      </c>
      <c r="G197" t="str">
        <f>IF(StatusBranchGrade[[#This Row],[Rank]] = StatusBranchGrade[[#This Row],[Grade]], StatusBranchGrade[[#This Row],[Rank]], StatusBranchGrade[[#This Row],[Grade]] &amp; "/" &amp; StatusBranchGrade[[#This Row],[Rank]]) &amp; ""</f>
        <v>O-5</v>
      </c>
      <c r="H19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O-5</v>
      </c>
      <c r="I197" s="17" t="str">
        <f>SUBSTITUTE(SUBSTITUTE(SUBSTITUTE(StatusBranchGrade[[#This Row],[Status]] &amp; "  /  " &amp; StatusBranchGrade[[#This Row],[Branch]] &amp; ";", "  /  ;", ";"), "  /  ;", ";"), ";", "")</f>
        <v>Active Duty  /  Air Force</v>
      </c>
      <c r="J197">
        <v>12</v>
      </c>
      <c r="K197" s="17" t="str">
        <f>IF(LEFT(StatusBranchGrade[[#This Row],[Which]], 1) = "1", StatusBranchGrade[[#This Row],[Key]], "")</f>
        <v>Active Duty  /  Air Force  /  O-5</v>
      </c>
      <c r="L197" s="17" t="str">
        <f>IF(LEFT(StatusBranchGrade[[#This Row],[Which]], 1) = "1", StatusBranchGrade[[#This Row],[Key0]], "")</f>
        <v>Active Duty  /  Air Force</v>
      </c>
      <c r="M197" s="17" t="str">
        <f>IF(RIGHT(StatusBranchGrade[[#This Row],[Which]], 1) = "2", StatusBranchGrade[[#This Row],[Key]], "")</f>
        <v>Active Duty  /  Air Force  /  O-5</v>
      </c>
      <c r="N197" s="17" t="str">
        <f>IF(RIGHT(StatusBranchGrade[[#This Row],[Which]], 1) = "2", StatusBranchGrade[[#This Row],[Key0]], "")</f>
        <v>Active Duty  /  Air Force</v>
      </c>
      <c r="O197" s="17" t="s">
        <v>296</v>
      </c>
      <c r="P197" s="17"/>
      <c r="Q197" s="63">
        <f>--ISNUMBER(IF(StatusBranchGrade[[#This Row],[Sponsor0]] = 'Calculation Worksheet'!$AV$6 &amp; "  /  " &amp; 'Calculation Worksheet'!$AV$7, 1, ""))</f>
        <v>0</v>
      </c>
      <c r="R197" s="63" t="str">
        <f>IF(StatusBranchGrade[[#This Row],[S1]] = 1, COUNTIF($Q$3:Q197, 1), "")</f>
        <v/>
      </c>
      <c r="S197" s="63" t="str">
        <f>IFERROR(INDEX(StatusBranchGrade[Rank/Grade], MATCH(ROWS($R$3:R197)-1, StatusBranchGrade[S2], 0)), "") &amp; ""</f>
        <v/>
      </c>
      <c r="T197" s="63">
        <f>--ISNUMBER(IF(StatusBranchGrade[[#This Row],[Spouse0]] = 'Calculation Worksheet'!$CG$6 &amp; "  /  " &amp; 'Calculation Worksheet'!$CG$7, 1, ""))</f>
        <v>0</v>
      </c>
      <c r="U197" s="63" t="str">
        <f>IF(StatusBranchGrade[[#This Row],[T1]] = 1, COUNTIF($T$3:T197, 1), "")</f>
        <v/>
      </c>
      <c r="V197" s="63" t="str">
        <f>IFERROR(INDEX(StatusBranchGrade[Rank/Grade], MATCH(ROWS($U$3:U197)-1, StatusBranchGrade[T2], 0)), "") &amp; ""</f>
        <v/>
      </c>
      <c r="W197" s="63"/>
    </row>
    <row r="198" spans="1:23" x14ac:dyDescent="0.25">
      <c r="A198">
        <v>5</v>
      </c>
      <c r="B198" t="s">
        <v>216</v>
      </c>
      <c r="C198" t="s">
        <v>183</v>
      </c>
      <c r="D198" t="s">
        <v>86</v>
      </c>
      <c r="E198" t="str">
        <f>IF(StatusBranchGrade[[#This Row],[Status]] = "CYS", "DoD", StatusBranchGrade[[#This Row],[Rank]] &amp; "")</f>
        <v>O-6</v>
      </c>
      <c r="F198" t="s">
        <v>86</v>
      </c>
      <c r="G198" t="str">
        <f>IF(StatusBranchGrade[[#This Row],[Rank]] = StatusBranchGrade[[#This Row],[Grade]], StatusBranchGrade[[#This Row],[Rank]], StatusBranchGrade[[#This Row],[Grade]] &amp; "/" &amp; StatusBranchGrade[[#This Row],[Rank]]) &amp; ""</f>
        <v>O-6</v>
      </c>
      <c r="H19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O-6</v>
      </c>
      <c r="I198" s="17" t="str">
        <f>SUBSTITUTE(SUBSTITUTE(SUBSTITUTE(StatusBranchGrade[[#This Row],[Status]] &amp; "  /  " &amp; StatusBranchGrade[[#This Row],[Branch]] &amp; ";", "  /  ;", ";"), "  /  ;", ";"), ";", "")</f>
        <v>Active Duty  /  Air Force</v>
      </c>
      <c r="J198">
        <v>12</v>
      </c>
      <c r="K198" s="17" t="str">
        <f>IF(LEFT(StatusBranchGrade[[#This Row],[Which]], 1) = "1", StatusBranchGrade[[#This Row],[Key]], "")</f>
        <v>Active Duty  /  Air Force  /  O-6</v>
      </c>
      <c r="L198" s="17" t="str">
        <f>IF(LEFT(StatusBranchGrade[[#This Row],[Which]], 1) = "1", StatusBranchGrade[[#This Row],[Key0]], "")</f>
        <v>Active Duty  /  Air Force</v>
      </c>
      <c r="M198" s="17" t="str">
        <f>IF(RIGHT(StatusBranchGrade[[#This Row],[Which]], 1) = "2", StatusBranchGrade[[#This Row],[Key]], "")</f>
        <v>Active Duty  /  Air Force  /  O-6</v>
      </c>
      <c r="N198" s="17" t="str">
        <f>IF(RIGHT(StatusBranchGrade[[#This Row],[Which]], 1) = "2", StatusBranchGrade[[#This Row],[Key0]], "")</f>
        <v>Active Duty  /  Air Force</v>
      </c>
      <c r="O198" s="17" t="s">
        <v>296</v>
      </c>
      <c r="P198" s="17"/>
      <c r="Q198" s="63">
        <f>--ISNUMBER(IF(StatusBranchGrade[[#This Row],[Sponsor0]] = 'Calculation Worksheet'!$AV$6 &amp; "  /  " &amp; 'Calculation Worksheet'!$AV$7, 1, ""))</f>
        <v>0</v>
      </c>
      <c r="R198" s="63" t="str">
        <f>IF(StatusBranchGrade[[#This Row],[S1]] = 1, COUNTIF($Q$3:Q198, 1), "")</f>
        <v/>
      </c>
      <c r="S198" s="63" t="str">
        <f>IFERROR(INDEX(StatusBranchGrade[Rank/Grade], MATCH(ROWS($R$3:R198)-1, StatusBranchGrade[S2], 0)), "") &amp; ""</f>
        <v/>
      </c>
      <c r="T198" s="63">
        <f>--ISNUMBER(IF(StatusBranchGrade[[#This Row],[Spouse0]] = 'Calculation Worksheet'!$CG$6 &amp; "  /  " &amp; 'Calculation Worksheet'!$CG$7, 1, ""))</f>
        <v>0</v>
      </c>
      <c r="U198" s="63" t="str">
        <f>IF(StatusBranchGrade[[#This Row],[T1]] = 1, COUNTIF($T$3:T198, 1), "")</f>
        <v/>
      </c>
      <c r="V198" s="63" t="str">
        <f>IFERROR(INDEX(StatusBranchGrade[Rank/Grade], MATCH(ROWS($U$3:U198)-1, StatusBranchGrade[T2], 0)), "") &amp; ""</f>
        <v/>
      </c>
      <c r="W198" s="63"/>
    </row>
    <row r="199" spans="1:23" x14ac:dyDescent="0.25">
      <c r="A199">
        <v>5</v>
      </c>
      <c r="B199" t="s">
        <v>216</v>
      </c>
      <c r="C199" t="s">
        <v>183</v>
      </c>
      <c r="D199" t="s">
        <v>85</v>
      </c>
      <c r="E199" t="str">
        <f>IF(StatusBranchGrade[[#This Row],[Status]] = "CYS", "DoD", StatusBranchGrade[[#This Row],[Rank]] &amp; "")</f>
        <v>O-7</v>
      </c>
      <c r="F199" t="s">
        <v>85</v>
      </c>
      <c r="G199" t="str">
        <f>IF(StatusBranchGrade[[#This Row],[Rank]] = StatusBranchGrade[[#This Row],[Grade]], StatusBranchGrade[[#This Row],[Rank]], StatusBranchGrade[[#This Row],[Grade]] &amp; "/" &amp; StatusBranchGrade[[#This Row],[Rank]]) &amp; ""</f>
        <v>O-7</v>
      </c>
      <c r="H19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O-7</v>
      </c>
      <c r="I199" s="17" t="str">
        <f>SUBSTITUTE(SUBSTITUTE(SUBSTITUTE(StatusBranchGrade[[#This Row],[Status]] &amp; "  /  " &amp; StatusBranchGrade[[#This Row],[Branch]] &amp; ";", "  /  ;", ";"), "  /  ;", ";"), ";", "")</f>
        <v>Active Duty  /  Air Force</v>
      </c>
      <c r="J199">
        <v>12</v>
      </c>
      <c r="K199" s="17" t="str">
        <f>IF(LEFT(StatusBranchGrade[[#This Row],[Which]], 1) = "1", StatusBranchGrade[[#This Row],[Key]], "")</f>
        <v>Active Duty  /  Air Force  /  O-7</v>
      </c>
      <c r="L199" s="17" t="str">
        <f>IF(LEFT(StatusBranchGrade[[#This Row],[Which]], 1) = "1", StatusBranchGrade[[#This Row],[Key0]], "")</f>
        <v>Active Duty  /  Air Force</v>
      </c>
      <c r="M199" s="17" t="str">
        <f>IF(RIGHT(StatusBranchGrade[[#This Row],[Which]], 1) = "2", StatusBranchGrade[[#This Row],[Key]], "")</f>
        <v>Active Duty  /  Air Force  /  O-7</v>
      </c>
      <c r="N199" s="17" t="str">
        <f>IF(RIGHT(StatusBranchGrade[[#This Row],[Which]], 1) = "2", StatusBranchGrade[[#This Row],[Key0]], "")</f>
        <v>Active Duty  /  Air Force</v>
      </c>
      <c r="O199" s="17" t="s">
        <v>296</v>
      </c>
      <c r="P199" s="17"/>
      <c r="Q199" s="63">
        <f>--ISNUMBER(IF(StatusBranchGrade[[#This Row],[Sponsor0]] = 'Calculation Worksheet'!$AV$6 &amp; "  /  " &amp; 'Calculation Worksheet'!$AV$7, 1, ""))</f>
        <v>0</v>
      </c>
      <c r="R199" s="63" t="str">
        <f>IF(StatusBranchGrade[[#This Row],[S1]] = 1, COUNTIF($Q$3:Q199, 1), "")</f>
        <v/>
      </c>
      <c r="S199" s="63" t="str">
        <f>IFERROR(INDEX(StatusBranchGrade[Rank/Grade], MATCH(ROWS($R$3:R199)-1, StatusBranchGrade[S2], 0)), "") &amp; ""</f>
        <v/>
      </c>
      <c r="T199" s="63">
        <f>--ISNUMBER(IF(StatusBranchGrade[[#This Row],[Spouse0]] = 'Calculation Worksheet'!$CG$6 &amp; "  /  " &amp; 'Calculation Worksheet'!$CG$7, 1, ""))</f>
        <v>0</v>
      </c>
      <c r="U199" s="63" t="str">
        <f>IF(StatusBranchGrade[[#This Row],[T1]] = 1, COUNTIF($T$3:T199, 1), "")</f>
        <v/>
      </c>
      <c r="V199" s="63" t="str">
        <f>IFERROR(INDEX(StatusBranchGrade[Rank/Grade], MATCH(ROWS($U$3:U199)-1, StatusBranchGrade[T2], 0)), "") &amp; ""</f>
        <v/>
      </c>
      <c r="W199" s="63"/>
    </row>
    <row r="200" spans="1:23" x14ac:dyDescent="0.25">
      <c r="A200">
        <v>5</v>
      </c>
      <c r="B200" t="s">
        <v>216</v>
      </c>
      <c r="C200" t="s">
        <v>183</v>
      </c>
      <c r="D200" t="s">
        <v>84</v>
      </c>
      <c r="E200" t="str">
        <f>IF(StatusBranchGrade[[#This Row],[Status]] = "CYS", "DoD", StatusBranchGrade[[#This Row],[Rank]] &amp; "")</f>
        <v>O-8</v>
      </c>
      <c r="F200" t="s">
        <v>84</v>
      </c>
      <c r="G200" t="str">
        <f>IF(StatusBranchGrade[[#This Row],[Rank]] = StatusBranchGrade[[#This Row],[Grade]], StatusBranchGrade[[#This Row],[Rank]], StatusBranchGrade[[#This Row],[Grade]] &amp; "/" &amp; StatusBranchGrade[[#This Row],[Rank]]) &amp; ""</f>
        <v>O-8</v>
      </c>
      <c r="H20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O-8</v>
      </c>
      <c r="I200" s="17" t="str">
        <f>SUBSTITUTE(SUBSTITUTE(SUBSTITUTE(StatusBranchGrade[[#This Row],[Status]] &amp; "  /  " &amp; StatusBranchGrade[[#This Row],[Branch]] &amp; ";", "  /  ;", ";"), "  /  ;", ";"), ";", "")</f>
        <v>Active Duty  /  Air Force</v>
      </c>
      <c r="J200">
        <v>12</v>
      </c>
      <c r="K200" s="17" t="str">
        <f>IF(LEFT(StatusBranchGrade[[#This Row],[Which]], 1) = "1", StatusBranchGrade[[#This Row],[Key]], "")</f>
        <v>Active Duty  /  Air Force  /  O-8</v>
      </c>
      <c r="L200" s="17" t="str">
        <f>IF(LEFT(StatusBranchGrade[[#This Row],[Which]], 1) = "1", StatusBranchGrade[[#This Row],[Key0]], "")</f>
        <v>Active Duty  /  Air Force</v>
      </c>
      <c r="M200" s="17" t="str">
        <f>IF(RIGHT(StatusBranchGrade[[#This Row],[Which]], 1) = "2", StatusBranchGrade[[#This Row],[Key]], "")</f>
        <v>Active Duty  /  Air Force  /  O-8</v>
      </c>
      <c r="N200" s="17" t="str">
        <f>IF(RIGHT(StatusBranchGrade[[#This Row],[Which]], 1) = "2", StatusBranchGrade[[#This Row],[Key0]], "")</f>
        <v>Active Duty  /  Air Force</v>
      </c>
      <c r="O200" s="17" t="s">
        <v>296</v>
      </c>
      <c r="P200" s="17"/>
      <c r="Q200" s="63">
        <f>--ISNUMBER(IF(StatusBranchGrade[[#This Row],[Sponsor0]] = 'Calculation Worksheet'!$AV$6 &amp; "  /  " &amp; 'Calculation Worksheet'!$AV$7, 1, ""))</f>
        <v>0</v>
      </c>
      <c r="R200" s="63" t="str">
        <f>IF(StatusBranchGrade[[#This Row],[S1]] = 1, COUNTIF($Q$3:Q200, 1), "")</f>
        <v/>
      </c>
      <c r="S200" s="63" t="str">
        <f>IFERROR(INDEX(StatusBranchGrade[Rank/Grade], MATCH(ROWS($R$3:R200)-1, StatusBranchGrade[S2], 0)), "") &amp; ""</f>
        <v/>
      </c>
      <c r="T200" s="63">
        <f>--ISNUMBER(IF(StatusBranchGrade[[#This Row],[Spouse0]] = 'Calculation Worksheet'!$CG$6 &amp; "  /  " &amp; 'Calculation Worksheet'!$CG$7, 1, ""))</f>
        <v>0</v>
      </c>
      <c r="U200" s="63" t="str">
        <f>IF(StatusBranchGrade[[#This Row],[T1]] = 1, COUNTIF($T$3:T200, 1), "")</f>
        <v/>
      </c>
      <c r="V200" s="63" t="str">
        <f>IFERROR(INDEX(StatusBranchGrade[Rank/Grade], MATCH(ROWS($U$3:U200)-1, StatusBranchGrade[T2], 0)), "") &amp; ""</f>
        <v/>
      </c>
      <c r="W200" s="63"/>
    </row>
    <row r="201" spans="1:23" x14ac:dyDescent="0.25">
      <c r="A201">
        <v>5</v>
      </c>
      <c r="B201" t="s">
        <v>216</v>
      </c>
      <c r="C201" t="s">
        <v>183</v>
      </c>
      <c r="D201" t="s">
        <v>83</v>
      </c>
      <c r="E201" t="str">
        <f>IF(StatusBranchGrade[[#This Row],[Status]] = "CYS", "DoD", StatusBranchGrade[[#This Row],[Rank]] &amp; "")</f>
        <v>O-9</v>
      </c>
      <c r="F201" t="s">
        <v>83</v>
      </c>
      <c r="G201" t="str">
        <f>IF(StatusBranchGrade[[#This Row],[Rank]] = StatusBranchGrade[[#This Row],[Grade]], StatusBranchGrade[[#This Row],[Rank]], StatusBranchGrade[[#This Row],[Grade]] &amp; "/" &amp; StatusBranchGrade[[#This Row],[Rank]]) &amp; ""</f>
        <v>O-9</v>
      </c>
      <c r="H20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O-9</v>
      </c>
      <c r="I201" s="17" t="str">
        <f>SUBSTITUTE(SUBSTITUTE(SUBSTITUTE(StatusBranchGrade[[#This Row],[Status]] &amp; "  /  " &amp; StatusBranchGrade[[#This Row],[Branch]] &amp; ";", "  /  ;", ";"), "  /  ;", ";"), ";", "")</f>
        <v>Active Duty  /  Air Force</v>
      </c>
      <c r="J201">
        <v>12</v>
      </c>
      <c r="K201" s="17" t="str">
        <f>IF(LEFT(StatusBranchGrade[[#This Row],[Which]], 1) = "1", StatusBranchGrade[[#This Row],[Key]], "")</f>
        <v>Active Duty  /  Air Force  /  O-9</v>
      </c>
      <c r="L201" s="17" t="str">
        <f>IF(LEFT(StatusBranchGrade[[#This Row],[Which]], 1) = "1", StatusBranchGrade[[#This Row],[Key0]], "")</f>
        <v>Active Duty  /  Air Force</v>
      </c>
      <c r="M201" s="17" t="str">
        <f>IF(RIGHT(StatusBranchGrade[[#This Row],[Which]], 1) = "2", StatusBranchGrade[[#This Row],[Key]], "")</f>
        <v>Active Duty  /  Air Force  /  O-9</v>
      </c>
      <c r="N201" s="17" t="str">
        <f>IF(RIGHT(StatusBranchGrade[[#This Row],[Which]], 1) = "2", StatusBranchGrade[[#This Row],[Key0]], "")</f>
        <v>Active Duty  /  Air Force</v>
      </c>
      <c r="O201" s="17" t="s">
        <v>296</v>
      </c>
      <c r="P201" s="17"/>
      <c r="Q201" s="63">
        <f>--ISNUMBER(IF(StatusBranchGrade[[#This Row],[Sponsor0]] = 'Calculation Worksheet'!$AV$6 &amp; "  /  " &amp; 'Calculation Worksheet'!$AV$7, 1, ""))</f>
        <v>0</v>
      </c>
      <c r="R201" s="63" t="str">
        <f>IF(StatusBranchGrade[[#This Row],[S1]] = 1, COUNTIF($Q$3:Q201, 1), "")</f>
        <v/>
      </c>
      <c r="S201" s="63" t="str">
        <f>IFERROR(INDEX(StatusBranchGrade[Rank/Grade], MATCH(ROWS($R$3:R201)-1, StatusBranchGrade[S2], 0)), "") &amp; ""</f>
        <v/>
      </c>
      <c r="T201" s="63">
        <f>--ISNUMBER(IF(StatusBranchGrade[[#This Row],[Spouse0]] = 'Calculation Worksheet'!$CG$6 &amp; "  /  " &amp; 'Calculation Worksheet'!$CG$7, 1, ""))</f>
        <v>0</v>
      </c>
      <c r="U201" s="63" t="str">
        <f>IF(StatusBranchGrade[[#This Row],[T1]] = 1, COUNTIF($T$3:T201, 1), "")</f>
        <v/>
      </c>
      <c r="V201" s="63" t="str">
        <f>IFERROR(INDEX(StatusBranchGrade[Rank/Grade], MATCH(ROWS($U$3:U201)-1, StatusBranchGrade[T2], 0)), "") &amp; ""</f>
        <v/>
      </c>
      <c r="W201" s="63"/>
    </row>
    <row r="202" spans="1:23" x14ac:dyDescent="0.25">
      <c r="A202">
        <v>5</v>
      </c>
      <c r="B202" t="s">
        <v>216</v>
      </c>
      <c r="C202" t="s">
        <v>183</v>
      </c>
      <c r="D202" t="s">
        <v>96</v>
      </c>
      <c r="E202" t="str">
        <f>IF(StatusBranchGrade[[#This Row],[Status]] = "CYS", "DoD", StatusBranchGrade[[#This Row],[Rank]] &amp; "")</f>
        <v>W-1</v>
      </c>
      <c r="F202" t="s">
        <v>96</v>
      </c>
      <c r="G202" t="str">
        <f>IF(StatusBranchGrade[[#This Row],[Rank]] = StatusBranchGrade[[#This Row],[Grade]], StatusBranchGrade[[#This Row],[Rank]], StatusBranchGrade[[#This Row],[Grade]] &amp; "/" &amp; StatusBranchGrade[[#This Row],[Rank]]) &amp; ""</f>
        <v>W-1</v>
      </c>
      <c r="H20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W-1</v>
      </c>
      <c r="I202" s="17" t="str">
        <f>SUBSTITUTE(SUBSTITUTE(SUBSTITUTE(StatusBranchGrade[[#This Row],[Status]] &amp; "  /  " &amp; StatusBranchGrade[[#This Row],[Branch]] &amp; ";", "  /  ;", ";"), "  /  ;", ";"), ";", "")</f>
        <v>Active Duty  /  Air Force</v>
      </c>
      <c r="J202">
        <v>12</v>
      </c>
      <c r="K202" s="17" t="str">
        <f>IF(LEFT(StatusBranchGrade[[#This Row],[Which]], 1) = "1", StatusBranchGrade[[#This Row],[Key]], "")</f>
        <v>Active Duty  /  Air Force  /  W-1</v>
      </c>
      <c r="L202" s="17" t="str">
        <f>IF(LEFT(StatusBranchGrade[[#This Row],[Which]], 1) = "1", StatusBranchGrade[[#This Row],[Key0]], "")</f>
        <v>Active Duty  /  Air Force</v>
      </c>
      <c r="M202" s="17" t="str">
        <f>IF(RIGHT(StatusBranchGrade[[#This Row],[Which]], 1) = "2", StatusBranchGrade[[#This Row],[Key]], "")</f>
        <v>Active Duty  /  Air Force  /  W-1</v>
      </c>
      <c r="N202" s="17" t="str">
        <f>IF(RIGHT(StatusBranchGrade[[#This Row],[Which]], 1) = "2", StatusBranchGrade[[#This Row],[Key0]], "")</f>
        <v>Active Duty  /  Air Force</v>
      </c>
      <c r="O202" s="17" t="s">
        <v>296</v>
      </c>
      <c r="P202" s="17"/>
      <c r="Q202" s="63">
        <f>--ISNUMBER(IF(StatusBranchGrade[[#This Row],[Sponsor0]] = 'Calculation Worksheet'!$AV$6 &amp; "  /  " &amp; 'Calculation Worksheet'!$AV$7, 1, ""))</f>
        <v>0</v>
      </c>
      <c r="R202" s="63" t="str">
        <f>IF(StatusBranchGrade[[#This Row],[S1]] = 1, COUNTIF($Q$3:Q202, 1), "")</f>
        <v/>
      </c>
      <c r="S202" s="63" t="str">
        <f>IFERROR(INDEX(StatusBranchGrade[Rank/Grade], MATCH(ROWS($R$3:R202)-1, StatusBranchGrade[S2], 0)), "") &amp; ""</f>
        <v/>
      </c>
      <c r="T202" s="63">
        <f>--ISNUMBER(IF(StatusBranchGrade[[#This Row],[Spouse0]] = 'Calculation Worksheet'!$CG$6 &amp; "  /  " &amp; 'Calculation Worksheet'!$CG$7, 1, ""))</f>
        <v>0</v>
      </c>
      <c r="U202" s="63" t="str">
        <f>IF(StatusBranchGrade[[#This Row],[T1]] = 1, COUNTIF($T$3:T202, 1), "")</f>
        <v/>
      </c>
      <c r="V202" s="63" t="str">
        <f>IFERROR(INDEX(StatusBranchGrade[Rank/Grade], MATCH(ROWS($U$3:U202)-1, StatusBranchGrade[T2], 0)), "") &amp; ""</f>
        <v/>
      </c>
      <c r="W202" s="63"/>
    </row>
    <row r="203" spans="1:23" x14ac:dyDescent="0.25">
      <c r="A203">
        <v>5</v>
      </c>
      <c r="B203" t="s">
        <v>216</v>
      </c>
      <c r="C203" t="s">
        <v>183</v>
      </c>
      <c r="D203" t="s">
        <v>95</v>
      </c>
      <c r="E203" t="str">
        <f>IF(StatusBranchGrade[[#This Row],[Status]] = "CYS", "DoD", StatusBranchGrade[[#This Row],[Rank]] &amp; "")</f>
        <v>W-2</v>
      </c>
      <c r="F203" t="s">
        <v>95</v>
      </c>
      <c r="G203" t="str">
        <f>IF(StatusBranchGrade[[#This Row],[Rank]] = StatusBranchGrade[[#This Row],[Grade]], StatusBranchGrade[[#This Row],[Rank]], StatusBranchGrade[[#This Row],[Grade]] &amp; "/" &amp; StatusBranchGrade[[#This Row],[Rank]]) &amp; ""</f>
        <v>W-2</v>
      </c>
      <c r="H20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W-2</v>
      </c>
      <c r="I203" s="17" t="str">
        <f>SUBSTITUTE(SUBSTITUTE(SUBSTITUTE(StatusBranchGrade[[#This Row],[Status]] &amp; "  /  " &amp; StatusBranchGrade[[#This Row],[Branch]] &amp; ";", "  /  ;", ";"), "  /  ;", ";"), ";", "")</f>
        <v>Active Duty  /  Air Force</v>
      </c>
      <c r="J203">
        <v>12</v>
      </c>
      <c r="K203" s="17" t="str">
        <f>IF(LEFT(StatusBranchGrade[[#This Row],[Which]], 1) = "1", StatusBranchGrade[[#This Row],[Key]], "")</f>
        <v>Active Duty  /  Air Force  /  W-2</v>
      </c>
      <c r="L203" s="17" t="str">
        <f>IF(LEFT(StatusBranchGrade[[#This Row],[Which]], 1) = "1", StatusBranchGrade[[#This Row],[Key0]], "")</f>
        <v>Active Duty  /  Air Force</v>
      </c>
      <c r="M203" s="17" t="str">
        <f>IF(RIGHT(StatusBranchGrade[[#This Row],[Which]], 1) = "2", StatusBranchGrade[[#This Row],[Key]], "")</f>
        <v>Active Duty  /  Air Force  /  W-2</v>
      </c>
      <c r="N203" s="17" t="str">
        <f>IF(RIGHT(StatusBranchGrade[[#This Row],[Which]], 1) = "2", StatusBranchGrade[[#This Row],[Key0]], "")</f>
        <v>Active Duty  /  Air Force</v>
      </c>
      <c r="O203" s="17" t="s">
        <v>296</v>
      </c>
      <c r="P203" s="17"/>
      <c r="Q203" s="63">
        <f>--ISNUMBER(IF(StatusBranchGrade[[#This Row],[Sponsor0]] = 'Calculation Worksheet'!$AV$6 &amp; "  /  " &amp; 'Calculation Worksheet'!$AV$7, 1, ""))</f>
        <v>0</v>
      </c>
      <c r="R203" s="63" t="str">
        <f>IF(StatusBranchGrade[[#This Row],[S1]] = 1, COUNTIF($Q$3:Q203, 1), "")</f>
        <v/>
      </c>
      <c r="S203" s="63" t="str">
        <f>IFERROR(INDEX(StatusBranchGrade[Rank/Grade], MATCH(ROWS($R$3:R203)-1, StatusBranchGrade[S2], 0)), "") &amp; ""</f>
        <v/>
      </c>
      <c r="T203" s="63">
        <f>--ISNUMBER(IF(StatusBranchGrade[[#This Row],[Spouse0]] = 'Calculation Worksheet'!$CG$6 &amp; "  /  " &amp; 'Calculation Worksheet'!$CG$7, 1, ""))</f>
        <v>0</v>
      </c>
      <c r="U203" s="63" t="str">
        <f>IF(StatusBranchGrade[[#This Row],[T1]] = 1, COUNTIF($T$3:T203, 1), "")</f>
        <v/>
      </c>
      <c r="V203" s="63" t="str">
        <f>IFERROR(INDEX(StatusBranchGrade[Rank/Grade], MATCH(ROWS($U$3:U203)-1, StatusBranchGrade[T2], 0)), "") &amp; ""</f>
        <v/>
      </c>
      <c r="W203" s="63"/>
    </row>
    <row r="204" spans="1:23" x14ac:dyDescent="0.25">
      <c r="A204">
        <v>5</v>
      </c>
      <c r="B204" t="s">
        <v>216</v>
      </c>
      <c r="C204" t="s">
        <v>183</v>
      </c>
      <c r="D204" t="s">
        <v>94</v>
      </c>
      <c r="E204" t="str">
        <f>IF(StatusBranchGrade[[#This Row],[Status]] = "CYS", "DoD", StatusBranchGrade[[#This Row],[Rank]] &amp; "")</f>
        <v>W-3</v>
      </c>
      <c r="F204" t="s">
        <v>94</v>
      </c>
      <c r="G204" t="str">
        <f>IF(StatusBranchGrade[[#This Row],[Rank]] = StatusBranchGrade[[#This Row],[Grade]], StatusBranchGrade[[#This Row],[Rank]], StatusBranchGrade[[#This Row],[Grade]] &amp; "/" &amp; StatusBranchGrade[[#This Row],[Rank]]) &amp; ""</f>
        <v>W-3</v>
      </c>
      <c r="H20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W-3</v>
      </c>
      <c r="I204" s="17" t="str">
        <f>SUBSTITUTE(SUBSTITUTE(SUBSTITUTE(StatusBranchGrade[[#This Row],[Status]] &amp; "  /  " &amp; StatusBranchGrade[[#This Row],[Branch]] &amp; ";", "  /  ;", ";"), "  /  ;", ";"), ";", "")</f>
        <v>Active Duty  /  Air Force</v>
      </c>
      <c r="J204">
        <v>12</v>
      </c>
      <c r="K204" s="17" t="str">
        <f>IF(LEFT(StatusBranchGrade[[#This Row],[Which]], 1) = "1", StatusBranchGrade[[#This Row],[Key]], "")</f>
        <v>Active Duty  /  Air Force  /  W-3</v>
      </c>
      <c r="L204" s="17" t="str">
        <f>IF(LEFT(StatusBranchGrade[[#This Row],[Which]], 1) = "1", StatusBranchGrade[[#This Row],[Key0]], "")</f>
        <v>Active Duty  /  Air Force</v>
      </c>
      <c r="M204" s="17" t="str">
        <f>IF(RIGHT(StatusBranchGrade[[#This Row],[Which]], 1) = "2", StatusBranchGrade[[#This Row],[Key]], "")</f>
        <v>Active Duty  /  Air Force  /  W-3</v>
      </c>
      <c r="N204" s="17" t="str">
        <f>IF(RIGHT(StatusBranchGrade[[#This Row],[Which]], 1) = "2", StatusBranchGrade[[#This Row],[Key0]], "")</f>
        <v>Active Duty  /  Air Force</v>
      </c>
      <c r="O204" s="17" t="s">
        <v>296</v>
      </c>
      <c r="P204" s="17"/>
      <c r="Q204" s="63">
        <f>--ISNUMBER(IF(StatusBranchGrade[[#This Row],[Sponsor0]] = 'Calculation Worksheet'!$AV$6 &amp; "  /  " &amp; 'Calculation Worksheet'!$AV$7, 1, ""))</f>
        <v>0</v>
      </c>
      <c r="R204" s="63" t="str">
        <f>IF(StatusBranchGrade[[#This Row],[S1]] = 1, COUNTIF($Q$3:Q204, 1), "")</f>
        <v/>
      </c>
      <c r="S204" s="63" t="str">
        <f>IFERROR(INDEX(StatusBranchGrade[Rank/Grade], MATCH(ROWS($R$3:R204)-1, StatusBranchGrade[S2], 0)), "") &amp; ""</f>
        <v/>
      </c>
      <c r="T204" s="63">
        <f>--ISNUMBER(IF(StatusBranchGrade[[#This Row],[Spouse0]] = 'Calculation Worksheet'!$CG$6 &amp; "  /  " &amp; 'Calculation Worksheet'!$CG$7, 1, ""))</f>
        <v>0</v>
      </c>
      <c r="U204" s="63" t="str">
        <f>IF(StatusBranchGrade[[#This Row],[T1]] = 1, COUNTIF($T$3:T204, 1), "")</f>
        <v/>
      </c>
      <c r="V204" s="63" t="str">
        <f>IFERROR(INDEX(StatusBranchGrade[Rank/Grade], MATCH(ROWS($U$3:U204)-1, StatusBranchGrade[T2], 0)), "") &amp; ""</f>
        <v/>
      </c>
      <c r="W204" s="63"/>
    </row>
    <row r="205" spans="1:23" x14ac:dyDescent="0.25">
      <c r="A205">
        <v>5</v>
      </c>
      <c r="B205" t="s">
        <v>216</v>
      </c>
      <c r="C205" t="s">
        <v>183</v>
      </c>
      <c r="D205" t="s">
        <v>93</v>
      </c>
      <c r="E205" t="str">
        <f>IF(StatusBranchGrade[[#This Row],[Status]] = "CYS", "DoD", StatusBranchGrade[[#This Row],[Rank]] &amp; "")</f>
        <v>W-4</v>
      </c>
      <c r="F205" t="s">
        <v>93</v>
      </c>
      <c r="G205" t="str">
        <f>IF(StatusBranchGrade[[#This Row],[Rank]] = StatusBranchGrade[[#This Row],[Grade]], StatusBranchGrade[[#This Row],[Rank]], StatusBranchGrade[[#This Row],[Grade]] &amp; "/" &amp; StatusBranchGrade[[#This Row],[Rank]]) &amp; ""</f>
        <v>W-4</v>
      </c>
      <c r="H20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Air Force  /  W-4</v>
      </c>
      <c r="I205" s="17" t="str">
        <f>SUBSTITUTE(SUBSTITUTE(SUBSTITUTE(StatusBranchGrade[[#This Row],[Status]] &amp; "  /  " &amp; StatusBranchGrade[[#This Row],[Branch]] &amp; ";", "  /  ;", ";"), "  /  ;", ";"), ";", "")</f>
        <v>Active Duty  /  Air Force</v>
      </c>
      <c r="J205">
        <v>12</v>
      </c>
      <c r="K205" s="17" t="str">
        <f>IF(LEFT(StatusBranchGrade[[#This Row],[Which]], 1) = "1", StatusBranchGrade[[#This Row],[Key]], "")</f>
        <v>Active Duty  /  Air Force  /  W-4</v>
      </c>
      <c r="L205" s="17" t="str">
        <f>IF(LEFT(StatusBranchGrade[[#This Row],[Which]], 1) = "1", StatusBranchGrade[[#This Row],[Key0]], "")</f>
        <v>Active Duty  /  Air Force</v>
      </c>
      <c r="M205" s="17" t="str">
        <f>IF(RIGHT(StatusBranchGrade[[#This Row],[Which]], 1) = "2", StatusBranchGrade[[#This Row],[Key]], "")</f>
        <v>Active Duty  /  Air Force  /  W-4</v>
      </c>
      <c r="N205" s="17" t="str">
        <f>IF(RIGHT(StatusBranchGrade[[#This Row],[Which]], 1) = "2", StatusBranchGrade[[#This Row],[Key0]], "")</f>
        <v>Active Duty  /  Air Force</v>
      </c>
      <c r="O205" s="17" t="s">
        <v>296</v>
      </c>
      <c r="P205" s="17"/>
      <c r="Q205" s="63">
        <f>--ISNUMBER(IF(StatusBranchGrade[[#This Row],[Sponsor0]] = 'Calculation Worksheet'!$AV$6 &amp; "  /  " &amp; 'Calculation Worksheet'!$AV$7, 1, ""))</f>
        <v>0</v>
      </c>
      <c r="R205" s="63" t="str">
        <f>IF(StatusBranchGrade[[#This Row],[S1]] = 1, COUNTIF($Q$3:Q205, 1), "")</f>
        <v/>
      </c>
      <c r="S205" s="63" t="str">
        <f>IFERROR(INDEX(StatusBranchGrade[Rank/Grade], MATCH(ROWS($R$3:R205)-1, StatusBranchGrade[S2], 0)), "") &amp; ""</f>
        <v/>
      </c>
      <c r="T205" s="63">
        <f>--ISNUMBER(IF(StatusBranchGrade[[#This Row],[Spouse0]] = 'Calculation Worksheet'!$CG$6 &amp; "  /  " &amp; 'Calculation Worksheet'!$CG$7, 1, ""))</f>
        <v>0</v>
      </c>
      <c r="U205" s="63" t="str">
        <f>IF(StatusBranchGrade[[#This Row],[T1]] = 1, COUNTIF($T$3:T205, 1), "")</f>
        <v/>
      </c>
      <c r="V205" s="63" t="str">
        <f>IFERROR(INDEX(StatusBranchGrade[Rank/Grade], MATCH(ROWS($U$3:U205)-1, StatusBranchGrade[T2], 0)), "") &amp; ""</f>
        <v/>
      </c>
      <c r="W205" s="63"/>
    </row>
    <row r="206" spans="1:23" x14ac:dyDescent="0.25">
      <c r="A206">
        <v>5</v>
      </c>
      <c r="B206" t="s">
        <v>216</v>
      </c>
      <c r="C206" t="s">
        <v>180</v>
      </c>
      <c r="D206" t="s">
        <v>95</v>
      </c>
      <c r="E206" t="str">
        <f>IF(StatusBranchGrade[[#This Row],[Status]] = "CYS", "DoD", StatusBranchGrade[[#This Row],[Rank]] &amp; "")</f>
        <v>W-2</v>
      </c>
      <c r="F206" t="s">
        <v>174</v>
      </c>
      <c r="G206" t="str">
        <f>IF(StatusBranchGrade[[#This Row],[Rank]] = StatusBranchGrade[[#This Row],[Grade]], StatusBranchGrade[[#This Row],[Rank]], StatusBranchGrade[[#This Row],[Grade]] &amp; "/" &amp; StatusBranchGrade[[#This Row],[Rank]]) &amp; ""</f>
        <v>CW2/W-2</v>
      </c>
      <c r="H20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CW2/W-2</v>
      </c>
      <c r="I206" s="17" t="str">
        <f>SUBSTITUTE(SUBSTITUTE(SUBSTITUTE(StatusBranchGrade[[#This Row],[Status]] &amp; "  /  " &amp; StatusBranchGrade[[#This Row],[Branch]] &amp; ";", "  /  ;", ";"), "  /  ;", ";"), ";", "")</f>
        <v>Active Duty  /  Army</v>
      </c>
      <c r="J206">
        <v>12</v>
      </c>
      <c r="K206" s="17" t="str">
        <f>IF(LEFT(StatusBranchGrade[[#This Row],[Which]], 1) = "1", StatusBranchGrade[[#This Row],[Key]], "")</f>
        <v>Active Duty  /  Army  /  CW2/W-2</v>
      </c>
      <c r="L206" s="17" t="str">
        <f>IF(LEFT(StatusBranchGrade[[#This Row],[Which]], 1) = "1", StatusBranchGrade[[#This Row],[Key0]], "")</f>
        <v>Active Duty  /  Army</v>
      </c>
      <c r="M206" s="17" t="str">
        <f>IF(RIGHT(StatusBranchGrade[[#This Row],[Which]], 1) = "2", StatusBranchGrade[[#This Row],[Key]], "")</f>
        <v>Active Duty  /  Army  /  CW2/W-2</v>
      </c>
      <c r="N206" s="17" t="str">
        <f>IF(RIGHT(StatusBranchGrade[[#This Row],[Which]], 1) = "2", StatusBranchGrade[[#This Row],[Key0]], "")</f>
        <v>Active Duty  /  Army</v>
      </c>
      <c r="O206" s="17" t="s">
        <v>296</v>
      </c>
      <c r="P206" s="17"/>
      <c r="Q206" s="63">
        <f>--ISNUMBER(IF(StatusBranchGrade[[#This Row],[Sponsor0]] = 'Calculation Worksheet'!$AV$6 &amp; "  /  " &amp; 'Calculation Worksheet'!$AV$7, 1, ""))</f>
        <v>0</v>
      </c>
      <c r="R206" s="63" t="str">
        <f>IF(StatusBranchGrade[[#This Row],[S1]] = 1, COUNTIF($Q$3:Q206, 1), "")</f>
        <v/>
      </c>
      <c r="S206" s="63" t="str">
        <f>IFERROR(INDEX(StatusBranchGrade[Rank/Grade], MATCH(ROWS($R$3:R206)-1, StatusBranchGrade[S2], 0)), "") &amp; ""</f>
        <v/>
      </c>
      <c r="T206" s="63">
        <f>--ISNUMBER(IF(StatusBranchGrade[[#This Row],[Spouse0]] = 'Calculation Worksheet'!$CG$6 &amp; "  /  " &amp; 'Calculation Worksheet'!$CG$7, 1, ""))</f>
        <v>0</v>
      </c>
      <c r="U206" s="63" t="str">
        <f>IF(StatusBranchGrade[[#This Row],[T1]] = 1, COUNTIF($T$3:T206, 1), "")</f>
        <v/>
      </c>
      <c r="V206" s="63" t="str">
        <f>IFERROR(INDEX(StatusBranchGrade[Rank/Grade], MATCH(ROWS($U$3:U206)-1, StatusBranchGrade[T2], 0)), "") &amp; ""</f>
        <v/>
      </c>
      <c r="W206" s="63"/>
    </row>
    <row r="207" spans="1:23" x14ac:dyDescent="0.25">
      <c r="A207">
        <v>5</v>
      </c>
      <c r="B207" t="s">
        <v>216</v>
      </c>
      <c r="C207" t="s">
        <v>180</v>
      </c>
      <c r="D207" t="s">
        <v>94</v>
      </c>
      <c r="E207" t="str">
        <f>IF(StatusBranchGrade[[#This Row],[Status]] = "CYS", "DoD", StatusBranchGrade[[#This Row],[Rank]] &amp; "")</f>
        <v>W-3</v>
      </c>
      <c r="F207" t="s">
        <v>175</v>
      </c>
      <c r="G207" t="str">
        <f>IF(StatusBranchGrade[[#This Row],[Rank]] = StatusBranchGrade[[#This Row],[Grade]], StatusBranchGrade[[#This Row],[Rank]], StatusBranchGrade[[#This Row],[Grade]] &amp; "/" &amp; StatusBranchGrade[[#This Row],[Rank]]) &amp; ""</f>
        <v>CW3/W-3</v>
      </c>
      <c r="H20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CW3/W-3</v>
      </c>
      <c r="I207" s="17" t="str">
        <f>SUBSTITUTE(SUBSTITUTE(SUBSTITUTE(StatusBranchGrade[[#This Row],[Status]] &amp; "  /  " &amp; StatusBranchGrade[[#This Row],[Branch]] &amp; ";", "  /  ;", ";"), "  /  ;", ";"), ";", "")</f>
        <v>Active Duty  /  Army</v>
      </c>
      <c r="J207">
        <v>12</v>
      </c>
      <c r="K207" s="17" t="str">
        <f>IF(LEFT(StatusBranchGrade[[#This Row],[Which]], 1) = "1", StatusBranchGrade[[#This Row],[Key]], "")</f>
        <v>Active Duty  /  Army  /  CW3/W-3</v>
      </c>
      <c r="L207" s="17" t="str">
        <f>IF(LEFT(StatusBranchGrade[[#This Row],[Which]], 1) = "1", StatusBranchGrade[[#This Row],[Key0]], "")</f>
        <v>Active Duty  /  Army</v>
      </c>
      <c r="M207" s="17" t="str">
        <f>IF(RIGHT(StatusBranchGrade[[#This Row],[Which]], 1) = "2", StatusBranchGrade[[#This Row],[Key]], "")</f>
        <v>Active Duty  /  Army  /  CW3/W-3</v>
      </c>
      <c r="N207" s="17" t="str">
        <f>IF(RIGHT(StatusBranchGrade[[#This Row],[Which]], 1) = "2", StatusBranchGrade[[#This Row],[Key0]], "")</f>
        <v>Active Duty  /  Army</v>
      </c>
      <c r="O207" s="17" t="s">
        <v>296</v>
      </c>
      <c r="P207" s="17"/>
      <c r="Q207" s="63">
        <f>--ISNUMBER(IF(StatusBranchGrade[[#This Row],[Sponsor0]] = 'Calculation Worksheet'!$AV$6 &amp; "  /  " &amp; 'Calculation Worksheet'!$AV$7, 1, ""))</f>
        <v>0</v>
      </c>
      <c r="R207" s="63" t="str">
        <f>IF(StatusBranchGrade[[#This Row],[S1]] = 1, COUNTIF($Q$3:Q207, 1), "")</f>
        <v/>
      </c>
      <c r="S207" s="63" t="str">
        <f>IFERROR(INDEX(StatusBranchGrade[Rank/Grade], MATCH(ROWS($R$3:R207)-1, StatusBranchGrade[S2], 0)), "") &amp; ""</f>
        <v/>
      </c>
      <c r="T207" s="63">
        <f>--ISNUMBER(IF(StatusBranchGrade[[#This Row],[Spouse0]] = 'Calculation Worksheet'!$CG$6 &amp; "  /  " &amp; 'Calculation Worksheet'!$CG$7, 1, ""))</f>
        <v>0</v>
      </c>
      <c r="U207" s="63" t="str">
        <f>IF(StatusBranchGrade[[#This Row],[T1]] = 1, COUNTIF($T$3:T207, 1), "")</f>
        <v/>
      </c>
      <c r="V207" s="63" t="str">
        <f>IFERROR(INDEX(StatusBranchGrade[Rank/Grade], MATCH(ROWS($U$3:U207)-1, StatusBranchGrade[T2], 0)), "") &amp; ""</f>
        <v/>
      </c>
      <c r="W207" s="63"/>
    </row>
    <row r="208" spans="1:23" x14ac:dyDescent="0.25">
      <c r="A208">
        <v>5</v>
      </c>
      <c r="B208" t="s">
        <v>216</v>
      </c>
      <c r="C208" t="s">
        <v>180</v>
      </c>
      <c r="D208" t="s">
        <v>93</v>
      </c>
      <c r="E208" t="str">
        <f>IF(StatusBranchGrade[[#This Row],[Status]] = "CYS", "DoD", StatusBranchGrade[[#This Row],[Rank]] &amp; "")</f>
        <v>W-4</v>
      </c>
      <c r="F208" t="s">
        <v>176</v>
      </c>
      <c r="G208" t="str">
        <f>IF(StatusBranchGrade[[#This Row],[Rank]] = StatusBranchGrade[[#This Row],[Grade]], StatusBranchGrade[[#This Row],[Rank]], StatusBranchGrade[[#This Row],[Grade]] &amp; "/" &amp; StatusBranchGrade[[#This Row],[Rank]]) &amp; ""</f>
        <v>CW4/W-4</v>
      </c>
      <c r="H20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CW4/W-4</v>
      </c>
      <c r="I208" s="17" t="str">
        <f>SUBSTITUTE(SUBSTITUTE(SUBSTITUTE(StatusBranchGrade[[#This Row],[Status]] &amp; "  /  " &amp; StatusBranchGrade[[#This Row],[Branch]] &amp; ";", "  /  ;", ";"), "  /  ;", ";"), ";", "")</f>
        <v>Active Duty  /  Army</v>
      </c>
      <c r="J208">
        <v>12</v>
      </c>
      <c r="K208" s="17" t="str">
        <f>IF(LEFT(StatusBranchGrade[[#This Row],[Which]], 1) = "1", StatusBranchGrade[[#This Row],[Key]], "")</f>
        <v>Active Duty  /  Army  /  CW4/W-4</v>
      </c>
      <c r="L208" s="17" t="str">
        <f>IF(LEFT(StatusBranchGrade[[#This Row],[Which]], 1) = "1", StatusBranchGrade[[#This Row],[Key0]], "")</f>
        <v>Active Duty  /  Army</v>
      </c>
      <c r="M208" s="17" t="str">
        <f>IF(RIGHT(StatusBranchGrade[[#This Row],[Which]], 1) = "2", StatusBranchGrade[[#This Row],[Key]], "")</f>
        <v>Active Duty  /  Army  /  CW4/W-4</v>
      </c>
      <c r="N208" s="17" t="str">
        <f>IF(RIGHT(StatusBranchGrade[[#This Row],[Which]], 1) = "2", StatusBranchGrade[[#This Row],[Key0]], "")</f>
        <v>Active Duty  /  Army</v>
      </c>
      <c r="O208" s="17" t="s">
        <v>296</v>
      </c>
      <c r="P208" s="17"/>
      <c r="Q208" s="63">
        <f>--ISNUMBER(IF(StatusBranchGrade[[#This Row],[Sponsor0]] = 'Calculation Worksheet'!$AV$6 &amp; "  /  " &amp; 'Calculation Worksheet'!$AV$7, 1, ""))</f>
        <v>0</v>
      </c>
      <c r="R208" s="63" t="str">
        <f>IF(StatusBranchGrade[[#This Row],[S1]] = 1, COUNTIF($Q$3:Q208, 1), "")</f>
        <v/>
      </c>
      <c r="S208" s="63" t="str">
        <f>IFERROR(INDEX(StatusBranchGrade[Rank/Grade], MATCH(ROWS($R$3:R208)-1, StatusBranchGrade[S2], 0)), "") &amp; ""</f>
        <v/>
      </c>
      <c r="T208" s="63">
        <f>--ISNUMBER(IF(StatusBranchGrade[[#This Row],[Spouse0]] = 'Calculation Worksheet'!$CG$6 &amp; "  /  " &amp; 'Calculation Worksheet'!$CG$7, 1, ""))</f>
        <v>0</v>
      </c>
      <c r="U208" s="63" t="str">
        <f>IF(StatusBranchGrade[[#This Row],[T1]] = 1, COUNTIF($T$3:T208, 1), "")</f>
        <v/>
      </c>
      <c r="V208" s="63" t="str">
        <f>IFERROR(INDEX(StatusBranchGrade[Rank/Grade], MATCH(ROWS($U$3:U208)-1, StatusBranchGrade[T2], 0)), "") &amp; ""</f>
        <v/>
      </c>
      <c r="W208" s="63"/>
    </row>
    <row r="209" spans="1:23" x14ac:dyDescent="0.25">
      <c r="A209">
        <v>5</v>
      </c>
      <c r="B209" t="s">
        <v>216</v>
      </c>
      <c r="C209" t="s">
        <v>180</v>
      </c>
      <c r="D209" t="s">
        <v>92</v>
      </c>
      <c r="E209" t="str">
        <f>IF(StatusBranchGrade[[#This Row],[Status]] = "CYS", "DoD", StatusBranchGrade[[#This Row],[Rank]] &amp; "")</f>
        <v>W-5</v>
      </c>
      <c r="F209" t="s">
        <v>177</v>
      </c>
      <c r="G209" t="str">
        <f>IF(StatusBranchGrade[[#This Row],[Rank]] = StatusBranchGrade[[#This Row],[Grade]], StatusBranchGrade[[#This Row],[Rank]], StatusBranchGrade[[#This Row],[Grade]] &amp; "/" &amp; StatusBranchGrade[[#This Row],[Rank]]) &amp; ""</f>
        <v>CW5/W-5</v>
      </c>
      <c r="H20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CW5/W-5</v>
      </c>
      <c r="I209" s="17" t="str">
        <f>SUBSTITUTE(SUBSTITUTE(SUBSTITUTE(StatusBranchGrade[[#This Row],[Status]] &amp; "  /  " &amp; StatusBranchGrade[[#This Row],[Branch]] &amp; ";", "  /  ;", ";"), "  /  ;", ";"), ";", "")</f>
        <v>Active Duty  /  Army</v>
      </c>
      <c r="J209">
        <v>12</v>
      </c>
      <c r="K209" s="17" t="str">
        <f>IF(LEFT(StatusBranchGrade[[#This Row],[Which]], 1) = "1", StatusBranchGrade[[#This Row],[Key]], "")</f>
        <v>Active Duty  /  Army  /  CW5/W-5</v>
      </c>
      <c r="L209" s="17" t="str">
        <f>IF(LEFT(StatusBranchGrade[[#This Row],[Which]], 1) = "1", StatusBranchGrade[[#This Row],[Key0]], "")</f>
        <v>Active Duty  /  Army</v>
      </c>
      <c r="M209" s="17" t="str">
        <f>IF(RIGHT(StatusBranchGrade[[#This Row],[Which]], 1) = "2", StatusBranchGrade[[#This Row],[Key]], "")</f>
        <v>Active Duty  /  Army  /  CW5/W-5</v>
      </c>
      <c r="N209" s="17" t="str">
        <f>IF(RIGHT(StatusBranchGrade[[#This Row],[Which]], 1) = "2", StatusBranchGrade[[#This Row],[Key0]], "")</f>
        <v>Active Duty  /  Army</v>
      </c>
      <c r="O209" s="17" t="s">
        <v>296</v>
      </c>
      <c r="P209" s="17"/>
      <c r="Q209" s="63">
        <f>--ISNUMBER(IF(StatusBranchGrade[[#This Row],[Sponsor0]] = 'Calculation Worksheet'!$AV$6 &amp; "  /  " &amp; 'Calculation Worksheet'!$AV$7, 1, ""))</f>
        <v>0</v>
      </c>
      <c r="R209" s="63" t="str">
        <f>IF(StatusBranchGrade[[#This Row],[S1]] = 1, COUNTIF($Q$3:Q209, 1), "")</f>
        <v/>
      </c>
      <c r="S209" s="63" t="str">
        <f>IFERROR(INDEX(StatusBranchGrade[Rank/Grade], MATCH(ROWS($R$3:R209)-1, StatusBranchGrade[S2], 0)), "") &amp; ""</f>
        <v/>
      </c>
      <c r="T209" s="63">
        <f>--ISNUMBER(IF(StatusBranchGrade[[#This Row],[Spouse0]] = 'Calculation Worksheet'!$CG$6 &amp; "  /  " &amp; 'Calculation Worksheet'!$CG$7, 1, ""))</f>
        <v>0</v>
      </c>
      <c r="U209" s="63" t="str">
        <f>IF(StatusBranchGrade[[#This Row],[T1]] = 1, COUNTIF($T$3:T209, 1), "")</f>
        <v/>
      </c>
      <c r="V209" s="63" t="str">
        <f>IFERROR(INDEX(StatusBranchGrade[Rank/Grade], MATCH(ROWS($U$3:U209)-1, StatusBranchGrade[T2], 0)), "") &amp; ""</f>
        <v/>
      </c>
      <c r="W209" s="63"/>
    </row>
    <row r="210" spans="1:23" x14ac:dyDescent="0.25">
      <c r="A210">
        <v>5</v>
      </c>
      <c r="B210" t="s">
        <v>216</v>
      </c>
      <c r="C210" t="s">
        <v>180</v>
      </c>
      <c r="D210" t="s">
        <v>105</v>
      </c>
      <c r="E210" t="str">
        <f>IF(StatusBranchGrade[[#This Row],[Status]] = "CYS", "DoD", StatusBranchGrade[[#This Row],[Rank]] &amp; "")</f>
        <v>E-1</v>
      </c>
      <c r="F210" t="s">
        <v>105</v>
      </c>
      <c r="G210" t="str">
        <f>IF(StatusBranchGrade[[#This Row],[Rank]] = StatusBranchGrade[[#This Row],[Grade]], StatusBranchGrade[[#This Row],[Rank]], StatusBranchGrade[[#This Row],[Grade]] &amp; "/" &amp; StatusBranchGrade[[#This Row],[Rank]]) &amp; ""</f>
        <v>E-1</v>
      </c>
      <c r="H2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E-1</v>
      </c>
      <c r="I210" s="17" t="str">
        <f>SUBSTITUTE(SUBSTITUTE(SUBSTITUTE(StatusBranchGrade[[#This Row],[Status]] &amp; "  /  " &amp; StatusBranchGrade[[#This Row],[Branch]] &amp; ";", "  /  ;", ";"), "  /  ;", ";"), ";", "")</f>
        <v>Active Duty  /  Army</v>
      </c>
      <c r="J210">
        <v>12</v>
      </c>
      <c r="K210" s="17" t="str">
        <f>IF(LEFT(StatusBranchGrade[[#This Row],[Which]], 1) = "1", StatusBranchGrade[[#This Row],[Key]], "")</f>
        <v>Active Duty  /  Army  /  E-1</v>
      </c>
      <c r="L210" s="17" t="str">
        <f>IF(LEFT(StatusBranchGrade[[#This Row],[Which]], 1) = "1", StatusBranchGrade[[#This Row],[Key0]], "")</f>
        <v>Active Duty  /  Army</v>
      </c>
      <c r="M210" s="17" t="str">
        <f>IF(RIGHT(StatusBranchGrade[[#This Row],[Which]], 1) = "2", StatusBranchGrade[[#This Row],[Key]], "")</f>
        <v>Active Duty  /  Army  /  E-1</v>
      </c>
      <c r="N210" s="17" t="str">
        <f>IF(RIGHT(StatusBranchGrade[[#This Row],[Which]], 1) = "2", StatusBranchGrade[[#This Row],[Key0]], "")</f>
        <v>Active Duty  /  Army</v>
      </c>
      <c r="O210" s="17" t="s">
        <v>296</v>
      </c>
      <c r="P210" s="17"/>
      <c r="Q210" s="63">
        <f>--ISNUMBER(IF(StatusBranchGrade[[#This Row],[Sponsor0]] = 'Calculation Worksheet'!$AV$6 &amp; "  /  " &amp; 'Calculation Worksheet'!$AV$7, 1, ""))</f>
        <v>0</v>
      </c>
      <c r="R210" s="63" t="str">
        <f>IF(StatusBranchGrade[[#This Row],[S1]] = 1, COUNTIF($Q$3:Q210, 1), "")</f>
        <v/>
      </c>
      <c r="S210" s="63" t="str">
        <f>IFERROR(INDEX(StatusBranchGrade[Rank/Grade], MATCH(ROWS($R$3:R210)-1, StatusBranchGrade[S2], 0)), "") &amp; ""</f>
        <v/>
      </c>
      <c r="T210" s="63">
        <f>--ISNUMBER(IF(StatusBranchGrade[[#This Row],[Spouse0]] = 'Calculation Worksheet'!$CG$6 &amp; "  /  " &amp; 'Calculation Worksheet'!$CG$7, 1, ""))</f>
        <v>0</v>
      </c>
      <c r="U210" s="63" t="str">
        <f>IF(StatusBranchGrade[[#This Row],[T1]] = 1, COUNTIF($T$3:T210, 1), "")</f>
        <v/>
      </c>
      <c r="V210" s="63" t="str">
        <f>IFERROR(INDEX(StatusBranchGrade[Rank/Grade], MATCH(ROWS($U$3:U210)-1, StatusBranchGrade[T2], 0)), "") &amp; ""</f>
        <v/>
      </c>
      <c r="W210" s="63"/>
    </row>
    <row r="211" spans="1:23" x14ac:dyDescent="0.25">
      <c r="A211">
        <v>5</v>
      </c>
      <c r="B211" t="s">
        <v>216</v>
      </c>
      <c r="C211" t="s">
        <v>180</v>
      </c>
      <c r="D211" t="s">
        <v>104</v>
      </c>
      <c r="E211" t="str">
        <f>IF(StatusBranchGrade[[#This Row],[Status]] = "CYS", "DoD", StatusBranchGrade[[#This Row],[Rank]] &amp; "")</f>
        <v>E-2</v>
      </c>
      <c r="F211" t="s">
        <v>104</v>
      </c>
      <c r="G211" t="str">
        <f>IF(StatusBranchGrade[[#This Row],[Rank]] = StatusBranchGrade[[#This Row],[Grade]], StatusBranchGrade[[#This Row],[Rank]], StatusBranchGrade[[#This Row],[Grade]] &amp; "/" &amp; StatusBranchGrade[[#This Row],[Rank]]) &amp; ""</f>
        <v>E-2</v>
      </c>
      <c r="H2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E-2</v>
      </c>
      <c r="I211" s="17" t="str">
        <f>SUBSTITUTE(SUBSTITUTE(SUBSTITUTE(StatusBranchGrade[[#This Row],[Status]] &amp; "  /  " &amp; StatusBranchGrade[[#This Row],[Branch]] &amp; ";", "  /  ;", ";"), "  /  ;", ";"), ";", "")</f>
        <v>Active Duty  /  Army</v>
      </c>
      <c r="J211">
        <v>12</v>
      </c>
      <c r="K211" s="17" t="str">
        <f>IF(LEFT(StatusBranchGrade[[#This Row],[Which]], 1) = "1", StatusBranchGrade[[#This Row],[Key]], "")</f>
        <v>Active Duty  /  Army  /  E-2</v>
      </c>
      <c r="L211" s="17" t="str">
        <f>IF(LEFT(StatusBranchGrade[[#This Row],[Which]], 1) = "1", StatusBranchGrade[[#This Row],[Key0]], "")</f>
        <v>Active Duty  /  Army</v>
      </c>
      <c r="M211" s="17" t="str">
        <f>IF(RIGHT(StatusBranchGrade[[#This Row],[Which]], 1) = "2", StatusBranchGrade[[#This Row],[Key]], "")</f>
        <v>Active Duty  /  Army  /  E-2</v>
      </c>
      <c r="N211" s="17" t="str">
        <f>IF(RIGHT(StatusBranchGrade[[#This Row],[Which]], 1) = "2", StatusBranchGrade[[#This Row],[Key0]], "")</f>
        <v>Active Duty  /  Army</v>
      </c>
      <c r="O211" s="17" t="s">
        <v>296</v>
      </c>
      <c r="P211" s="17"/>
      <c r="Q211" s="63">
        <f>--ISNUMBER(IF(StatusBranchGrade[[#This Row],[Sponsor0]] = 'Calculation Worksheet'!$AV$6 &amp; "  /  " &amp; 'Calculation Worksheet'!$AV$7, 1, ""))</f>
        <v>0</v>
      </c>
      <c r="R211" s="63" t="str">
        <f>IF(StatusBranchGrade[[#This Row],[S1]] = 1, COUNTIF($Q$3:Q211, 1), "")</f>
        <v/>
      </c>
      <c r="S211" s="63" t="str">
        <f>IFERROR(INDEX(StatusBranchGrade[Rank/Grade], MATCH(ROWS($R$3:R211)-1, StatusBranchGrade[S2], 0)), "") &amp; ""</f>
        <v/>
      </c>
      <c r="T211" s="63">
        <f>--ISNUMBER(IF(StatusBranchGrade[[#This Row],[Spouse0]] = 'Calculation Worksheet'!$CG$6 &amp; "  /  " &amp; 'Calculation Worksheet'!$CG$7, 1, ""))</f>
        <v>0</v>
      </c>
      <c r="U211" s="63" t="str">
        <f>IF(StatusBranchGrade[[#This Row],[T1]] = 1, COUNTIF($T$3:T211, 1), "")</f>
        <v/>
      </c>
      <c r="V211" s="63" t="str">
        <f>IFERROR(INDEX(StatusBranchGrade[Rank/Grade], MATCH(ROWS($U$3:U211)-1, StatusBranchGrade[T2], 0)), "") &amp; ""</f>
        <v/>
      </c>
      <c r="W211" s="63"/>
    </row>
    <row r="212" spans="1:23" x14ac:dyDescent="0.25">
      <c r="A212">
        <v>5</v>
      </c>
      <c r="B212" t="s">
        <v>216</v>
      </c>
      <c r="C212" t="s">
        <v>180</v>
      </c>
      <c r="D212" t="s">
        <v>103</v>
      </c>
      <c r="E212" t="str">
        <f>IF(StatusBranchGrade[[#This Row],[Status]] = "CYS", "DoD", StatusBranchGrade[[#This Row],[Rank]] &amp; "")</f>
        <v>E-3</v>
      </c>
      <c r="F212" t="s">
        <v>103</v>
      </c>
      <c r="G212" t="str">
        <f>IF(StatusBranchGrade[[#This Row],[Rank]] = StatusBranchGrade[[#This Row],[Grade]], StatusBranchGrade[[#This Row],[Rank]], StatusBranchGrade[[#This Row],[Grade]] &amp; "/" &amp; StatusBranchGrade[[#This Row],[Rank]]) &amp; ""</f>
        <v>E-3</v>
      </c>
      <c r="H2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E-3</v>
      </c>
      <c r="I212" s="17" t="str">
        <f>SUBSTITUTE(SUBSTITUTE(SUBSTITUTE(StatusBranchGrade[[#This Row],[Status]] &amp; "  /  " &amp; StatusBranchGrade[[#This Row],[Branch]] &amp; ";", "  /  ;", ";"), "  /  ;", ";"), ";", "")</f>
        <v>Active Duty  /  Army</v>
      </c>
      <c r="J212">
        <v>12</v>
      </c>
      <c r="K212" s="17" t="str">
        <f>IF(LEFT(StatusBranchGrade[[#This Row],[Which]], 1) = "1", StatusBranchGrade[[#This Row],[Key]], "")</f>
        <v>Active Duty  /  Army  /  E-3</v>
      </c>
      <c r="L212" s="17" t="str">
        <f>IF(LEFT(StatusBranchGrade[[#This Row],[Which]], 1) = "1", StatusBranchGrade[[#This Row],[Key0]], "")</f>
        <v>Active Duty  /  Army</v>
      </c>
      <c r="M212" s="17" t="str">
        <f>IF(RIGHT(StatusBranchGrade[[#This Row],[Which]], 1) = "2", StatusBranchGrade[[#This Row],[Key]], "")</f>
        <v>Active Duty  /  Army  /  E-3</v>
      </c>
      <c r="N212" s="17" t="str">
        <f>IF(RIGHT(StatusBranchGrade[[#This Row],[Which]], 1) = "2", StatusBranchGrade[[#This Row],[Key0]], "")</f>
        <v>Active Duty  /  Army</v>
      </c>
      <c r="O212" s="17" t="s">
        <v>296</v>
      </c>
      <c r="P212" s="17"/>
      <c r="Q212" s="63">
        <f>--ISNUMBER(IF(StatusBranchGrade[[#This Row],[Sponsor0]] = 'Calculation Worksheet'!$AV$6 &amp; "  /  " &amp; 'Calculation Worksheet'!$AV$7, 1, ""))</f>
        <v>0</v>
      </c>
      <c r="R212" s="63" t="str">
        <f>IF(StatusBranchGrade[[#This Row],[S1]] = 1, COUNTIF($Q$3:Q212, 1), "")</f>
        <v/>
      </c>
      <c r="S212" s="63" t="str">
        <f>IFERROR(INDEX(StatusBranchGrade[Rank/Grade], MATCH(ROWS($R$3:R212)-1, StatusBranchGrade[S2], 0)), "") &amp; ""</f>
        <v/>
      </c>
      <c r="T212" s="63">
        <f>--ISNUMBER(IF(StatusBranchGrade[[#This Row],[Spouse0]] = 'Calculation Worksheet'!$CG$6 &amp; "  /  " &amp; 'Calculation Worksheet'!$CG$7, 1, ""))</f>
        <v>0</v>
      </c>
      <c r="U212" s="63" t="str">
        <f>IF(StatusBranchGrade[[#This Row],[T1]] = 1, COUNTIF($T$3:T212, 1), "")</f>
        <v/>
      </c>
      <c r="V212" s="63" t="str">
        <f>IFERROR(INDEX(StatusBranchGrade[Rank/Grade], MATCH(ROWS($U$3:U212)-1, StatusBranchGrade[T2], 0)), "") &amp; ""</f>
        <v/>
      </c>
      <c r="W212" s="63"/>
    </row>
    <row r="213" spans="1:23" x14ac:dyDescent="0.25">
      <c r="A213">
        <v>5</v>
      </c>
      <c r="B213" t="s">
        <v>216</v>
      </c>
      <c r="C213" t="s">
        <v>180</v>
      </c>
      <c r="D213" t="s">
        <v>102</v>
      </c>
      <c r="E213" t="str">
        <f>IF(StatusBranchGrade[[#This Row],[Status]] = "CYS", "DoD", StatusBranchGrade[[#This Row],[Rank]] &amp; "")</f>
        <v>E-4</v>
      </c>
      <c r="F213" t="s">
        <v>102</v>
      </c>
      <c r="G213" t="str">
        <f>IF(StatusBranchGrade[[#This Row],[Rank]] = StatusBranchGrade[[#This Row],[Grade]], StatusBranchGrade[[#This Row],[Rank]], StatusBranchGrade[[#This Row],[Grade]] &amp; "/" &amp; StatusBranchGrade[[#This Row],[Rank]]) &amp; ""</f>
        <v>E-4</v>
      </c>
      <c r="H2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E-4</v>
      </c>
      <c r="I213" s="17" t="str">
        <f>SUBSTITUTE(SUBSTITUTE(SUBSTITUTE(StatusBranchGrade[[#This Row],[Status]] &amp; "  /  " &amp; StatusBranchGrade[[#This Row],[Branch]] &amp; ";", "  /  ;", ";"), "  /  ;", ";"), ";", "")</f>
        <v>Active Duty  /  Army</v>
      </c>
      <c r="J213">
        <v>12</v>
      </c>
      <c r="K213" s="17" t="str">
        <f>IF(LEFT(StatusBranchGrade[[#This Row],[Which]], 1) = "1", StatusBranchGrade[[#This Row],[Key]], "")</f>
        <v>Active Duty  /  Army  /  E-4</v>
      </c>
      <c r="L213" s="17" t="str">
        <f>IF(LEFT(StatusBranchGrade[[#This Row],[Which]], 1) = "1", StatusBranchGrade[[#This Row],[Key0]], "")</f>
        <v>Active Duty  /  Army</v>
      </c>
      <c r="M213" s="17" t="str">
        <f>IF(RIGHT(StatusBranchGrade[[#This Row],[Which]], 1) = "2", StatusBranchGrade[[#This Row],[Key]], "")</f>
        <v>Active Duty  /  Army  /  E-4</v>
      </c>
      <c r="N213" s="17" t="str">
        <f>IF(RIGHT(StatusBranchGrade[[#This Row],[Which]], 1) = "2", StatusBranchGrade[[#This Row],[Key0]], "")</f>
        <v>Active Duty  /  Army</v>
      </c>
      <c r="O213" s="17" t="s">
        <v>296</v>
      </c>
      <c r="P213" s="17"/>
      <c r="Q213" s="63">
        <f>--ISNUMBER(IF(StatusBranchGrade[[#This Row],[Sponsor0]] = 'Calculation Worksheet'!$AV$6 &amp; "  /  " &amp; 'Calculation Worksheet'!$AV$7, 1, ""))</f>
        <v>0</v>
      </c>
      <c r="R213" s="63" t="str">
        <f>IF(StatusBranchGrade[[#This Row],[S1]] = 1, COUNTIF($Q$3:Q213, 1), "")</f>
        <v/>
      </c>
      <c r="S213" s="63" t="str">
        <f>IFERROR(INDEX(StatusBranchGrade[Rank/Grade], MATCH(ROWS($R$3:R213)-1, StatusBranchGrade[S2], 0)), "") &amp; ""</f>
        <v/>
      </c>
      <c r="T213" s="63">
        <f>--ISNUMBER(IF(StatusBranchGrade[[#This Row],[Spouse0]] = 'Calculation Worksheet'!$CG$6 &amp; "  /  " &amp; 'Calculation Worksheet'!$CG$7, 1, ""))</f>
        <v>0</v>
      </c>
      <c r="U213" s="63" t="str">
        <f>IF(StatusBranchGrade[[#This Row],[T1]] = 1, COUNTIF($T$3:T213, 1), "")</f>
        <v/>
      </c>
      <c r="V213" s="63" t="str">
        <f>IFERROR(INDEX(StatusBranchGrade[Rank/Grade], MATCH(ROWS($U$3:U213)-1, StatusBranchGrade[T2], 0)), "") &amp; ""</f>
        <v/>
      </c>
      <c r="W213" s="63"/>
    </row>
    <row r="214" spans="1:23" x14ac:dyDescent="0.25">
      <c r="A214">
        <v>5</v>
      </c>
      <c r="B214" t="s">
        <v>216</v>
      </c>
      <c r="C214" t="s">
        <v>180</v>
      </c>
      <c r="D214" t="s">
        <v>101</v>
      </c>
      <c r="E214" t="str">
        <f>IF(StatusBranchGrade[[#This Row],[Status]] = "CYS", "DoD", StatusBranchGrade[[#This Row],[Rank]] &amp; "")</f>
        <v>E-5</v>
      </c>
      <c r="F214" t="s">
        <v>101</v>
      </c>
      <c r="G214" t="str">
        <f>IF(StatusBranchGrade[[#This Row],[Rank]] = StatusBranchGrade[[#This Row],[Grade]], StatusBranchGrade[[#This Row],[Rank]], StatusBranchGrade[[#This Row],[Grade]] &amp; "/" &amp; StatusBranchGrade[[#This Row],[Rank]]) &amp; ""</f>
        <v>E-5</v>
      </c>
      <c r="H2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E-5</v>
      </c>
      <c r="I214" s="17" t="str">
        <f>SUBSTITUTE(SUBSTITUTE(SUBSTITUTE(StatusBranchGrade[[#This Row],[Status]] &amp; "  /  " &amp; StatusBranchGrade[[#This Row],[Branch]] &amp; ";", "  /  ;", ";"), "  /  ;", ";"), ";", "")</f>
        <v>Active Duty  /  Army</v>
      </c>
      <c r="J214">
        <v>12</v>
      </c>
      <c r="K214" s="17" t="str">
        <f>IF(LEFT(StatusBranchGrade[[#This Row],[Which]], 1) = "1", StatusBranchGrade[[#This Row],[Key]], "")</f>
        <v>Active Duty  /  Army  /  E-5</v>
      </c>
      <c r="L214" s="17" t="str">
        <f>IF(LEFT(StatusBranchGrade[[#This Row],[Which]], 1) = "1", StatusBranchGrade[[#This Row],[Key0]], "")</f>
        <v>Active Duty  /  Army</v>
      </c>
      <c r="M214" s="17" t="str">
        <f>IF(RIGHT(StatusBranchGrade[[#This Row],[Which]], 1) = "2", StatusBranchGrade[[#This Row],[Key]], "")</f>
        <v>Active Duty  /  Army  /  E-5</v>
      </c>
      <c r="N214" s="17" t="str">
        <f>IF(RIGHT(StatusBranchGrade[[#This Row],[Which]], 1) = "2", StatusBranchGrade[[#This Row],[Key0]], "")</f>
        <v>Active Duty  /  Army</v>
      </c>
      <c r="O214" s="17" t="s">
        <v>296</v>
      </c>
      <c r="P214" s="17"/>
      <c r="Q214" s="63">
        <f>--ISNUMBER(IF(StatusBranchGrade[[#This Row],[Sponsor0]] = 'Calculation Worksheet'!$AV$6 &amp; "  /  " &amp; 'Calculation Worksheet'!$AV$7, 1, ""))</f>
        <v>0</v>
      </c>
      <c r="R214" s="63" t="str">
        <f>IF(StatusBranchGrade[[#This Row],[S1]] = 1, COUNTIF($Q$3:Q214, 1), "")</f>
        <v/>
      </c>
      <c r="S214" s="63" t="str">
        <f>IFERROR(INDEX(StatusBranchGrade[Rank/Grade], MATCH(ROWS($R$3:R214)-1, StatusBranchGrade[S2], 0)), "") &amp; ""</f>
        <v/>
      </c>
      <c r="T214" s="63">
        <f>--ISNUMBER(IF(StatusBranchGrade[[#This Row],[Spouse0]] = 'Calculation Worksheet'!$CG$6 &amp; "  /  " &amp; 'Calculation Worksheet'!$CG$7, 1, ""))</f>
        <v>0</v>
      </c>
      <c r="U214" s="63" t="str">
        <f>IF(StatusBranchGrade[[#This Row],[T1]] = 1, COUNTIF($T$3:T214, 1), "")</f>
        <v/>
      </c>
      <c r="V214" s="63" t="str">
        <f>IFERROR(INDEX(StatusBranchGrade[Rank/Grade], MATCH(ROWS($U$3:U214)-1, StatusBranchGrade[T2], 0)), "") &amp; ""</f>
        <v/>
      </c>
      <c r="W214" s="63"/>
    </row>
    <row r="215" spans="1:23" x14ac:dyDescent="0.25">
      <c r="A215">
        <v>5</v>
      </c>
      <c r="B215" t="s">
        <v>216</v>
      </c>
      <c r="C215" t="s">
        <v>180</v>
      </c>
      <c r="D215" t="s">
        <v>100</v>
      </c>
      <c r="E215" t="str">
        <f>IF(StatusBranchGrade[[#This Row],[Status]] = "CYS", "DoD", StatusBranchGrade[[#This Row],[Rank]] &amp; "")</f>
        <v>E-6</v>
      </c>
      <c r="F215" t="s">
        <v>100</v>
      </c>
      <c r="G215" t="str">
        <f>IF(StatusBranchGrade[[#This Row],[Rank]] = StatusBranchGrade[[#This Row],[Grade]], StatusBranchGrade[[#This Row],[Rank]], StatusBranchGrade[[#This Row],[Grade]] &amp; "/" &amp; StatusBranchGrade[[#This Row],[Rank]]) &amp; ""</f>
        <v>E-6</v>
      </c>
      <c r="H2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E-6</v>
      </c>
      <c r="I215" s="17" t="str">
        <f>SUBSTITUTE(SUBSTITUTE(SUBSTITUTE(StatusBranchGrade[[#This Row],[Status]] &amp; "  /  " &amp; StatusBranchGrade[[#This Row],[Branch]] &amp; ";", "  /  ;", ";"), "  /  ;", ";"), ";", "")</f>
        <v>Active Duty  /  Army</v>
      </c>
      <c r="J215">
        <v>12</v>
      </c>
      <c r="K215" s="17" t="str">
        <f>IF(LEFT(StatusBranchGrade[[#This Row],[Which]], 1) = "1", StatusBranchGrade[[#This Row],[Key]], "")</f>
        <v>Active Duty  /  Army  /  E-6</v>
      </c>
      <c r="L215" s="17" t="str">
        <f>IF(LEFT(StatusBranchGrade[[#This Row],[Which]], 1) = "1", StatusBranchGrade[[#This Row],[Key0]], "")</f>
        <v>Active Duty  /  Army</v>
      </c>
      <c r="M215" s="17" t="str">
        <f>IF(RIGHT(StatusBranchGrade[[#This Row],[Which]], 1) = "2", StatusBranchGrade[[#This Row],[Key]], "")</f>
        <v>Active Duty  /  Army  /  E-6</v>
      </c>
      <c r="N215" s="17" t="str">
        <f>IF(RIGHT(StatusBranchGrade[[#This Row],[Which]], 1) = "2", StatusBranchGrade[[#This Row],[Key0]], "")</f>
        <v>Active Duty  /  Army</v>
      </c>
      <c r="O215" s="17" t="s">
        <v>296</v>
      </c>
      <c r="P215" s="17"/>
      <c r="Q215" s="63">
        <f>--ISNUMBER(IF(StatusBranchGrade[[#This Row],[Sponsor0]] = 'Calculation Worksheet'!$AV$6 &amp; "  /  " &amp; 'Calculation Worksheet'!$AV$7, 1, ""))</f>
        <v>0</v>
      </c>
      <c r="R215" s="63" t="str">
        <f>IF(StatusBranchGrade[[#This Row],[S1]] = 1, COUNTIF($Q$3:Q215, 1), "")</f>
        <v/>
      </c>
      <c r="S215" s="63" t="str">
        <f>IFERROR(INDEX(StatusBranchGrade[Rank/Grade], MATCH(ROWS($R$3:R215)-1, StatusBranchGrade[S2], 0)), "") &amp; ""</f>
        <v/>
      </c>
      <c r="T215" s="63">
        <f>--ISNUMBER(IF(StatusBranchGrade[[#This Row],[Spouse0]] = 'Calculation Worksheet'!$CG$6 &amp; "  /  " &amp; 'Calculation Worksheet'!$CG$7, 1, ""))</f>
        <v>0</v>
      </c>
      <c r="U215" s="63" t="str">
        <f>IF(StatusBranchGrade[[#This Row],[T1]] = 1, COUNTIF($T$3:T215, 1), "")</f>
        <v/>
      </c>
      <c r="V215" s="63" t="str">
        <f>IFERROR(INDEX(StatusBranchGrade[Rank/Grade], MATCH(ROWS($U$3:U215)-1, StatusBranchGrade[T2], 0)), "") &amp; ""</f>
        <v/>
      </c>
      <c r="W215" s="63"/>
    </row>
    <row r="216" spans="1:23" x14ac:dyDescent="0.25">
      <c r="A216">
        <v>5</v>
      </c>
      <c r="B216" t="s">
        <v>216</v>
      </c>
      <c r="C216" t="s">
        <v>180</v>
      </c>
      <c r="D216" t="s">
        <v>99</v>
      </c>
      <c r="E216" t="str">
        <f>IF(StatusBranchGrade[[#This Row],[Status]] = "CYS", "DoD", StatusBranchGrade[[#This Row],[Rank]] &amp; "")</f>
        <v>E-7</v>
      </c>
      <c r="F216" t="s">
        <v>99</v>
      </c>
      <c r="G216" t="str">
        <f>IF(StatusBranchGrade[[#This Row],[Rank]] = StatusBranchGrade[[#This Row],[Grade]], StatusBranchGrade[[#This Row],[Rank]], StatusBranchGrade[[#This Row],[Grade]] &amp; "/" &amp; StatusBranchGrade[[#This Row],[Rank]]) &amp; ""</f>
        <v>E-7</v>
      </c>
      <c r="H2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E-7</v>
      </c>
      <c r="I216" s="17" t="str">
        <f>SUBSTITUTE(SUBSTITUTE(SUBSTITUTE(StatusBranchGrade[[#This Row],[Status]] &amp; "  /  " &amp; StatusBranchGrade[[#This Row],[Branch]] &amp; ";", "  /  ;", ";"), "  /  ;", ";"), ";", "")</f>
        <v>Active Duty  /  Army</v>
      </c>
      <c r="J216">
        <v>12</v>
      </c>
      <c r="K216" s="17" t="str">
        <f>IF(LEFT(StatusBranchGrade[[#This Row],[Which]], 1) = "1", StatusBranchGrade[[#This Row],[Key]], "")</f>
        <v>Active Duty  /  Army  /  E-7</v>
      </c>
      <c r="L216" s="17" t="str">
        <f>IF(LEFT(StatusBranchGrade[[#This Row],[Which]], 1) = "1", StatusBranchGrade[[#This Row],[Key0]], "")</f>
        <v>Active Duty  /  Army</v>
      </c>
      <c r="M216" s="17" t="str">
        <f>IF(RIGHT(StatusBranchGrade[[#This Row],[Which]], 1) = "2", StatusBranchGrade[[#This Row],[Key]], "")</f>
        <v>Active Duty  /  Army  /  E-7</v>
      </c>
      <c r="N216" s="17" t="str">
        <f>IF(RIGHT(StatusBranchGrade[[#This Row],[Which]], 1) = "2", StatusBranchGrade[[#This Row],[Key0]], "")</f>
        <v>Active Duty  /  Army</v>
      </c>
      <c r="O216" s="17" t="s">
        <v>296</v>
      </c>
      <c r="P216" s="17"/>
      <c r="Q216" s="63">
        <f>--ISNUMBER(IF(StatusBranchGrade[[#This Row],[Sponsor0]] = 'Calculation Worksheet'!$AV$6 &amp; "  /  " &amp; 'Calculation Worksheet'!$AV$7, 1, ""))</f>
        <v>0</v>
      </c>
      <c r="R216" s="63" t="str">
        <f>IF(StatusBranchGrade[[#This Row],[S1]] = 1, COUNTIF($Q$3:Q216, 1), "")</f>
        <v/>
      </c>
      <c r="S216" s="63" t="str">
        <f>IFERROR(INDEX(StatusBranchGrade[Rank/Grade], MATCH(ROWS($R$3:R216)-1, StatusBranchGrade[S2], 0)), "") &amp; ""</f>
        <v/>
      </c>
      <c r="T216" s="63">
        <f>--ISNUMBER(IF(StatusBranchGrade[[#This Row],[Spouse0]] = 'Calculation Worksheet'!$CG$6 &amp; "  /  " &amp; 'Calculation Worksheet'!$CG$7, 1, ""))</f>
        <v>0</v>
      </c>
      <c r="U216" s="63" t="str">
        <f>IF(StatusBranchGrade[[#This Row],[T1]] = 1, COUNTIF($T$3:T216, 1), "")</f>
        <v/>
      </c>
      <c r="V216" s="63" t="str">
        <f>IFERROR(INDEX(StatusBranchGrade[Rank/Grade], MATCH(ROWS($U$3:U216)-1, StatusBranchGrade[T2], 0)), "") &amp; ""</f>
        <v/>
      </c>
      <c r="W216" s="63"/>
    </row>
    <row r="217" spans="1:23" x14ac:dyDescent="0.25">
      <c r="A217">
        <v>5</v>
      </c>
      <c r="B217" t="s">
        <v>216</v>
      </c>
      <c r="C217" t="s">
        <v>180</v>
      </c>
      <c r="D217" t="s">
        <v>98</v>
      </c>
      <c r="E217" t="str">
        <f>IF(StatusBranchGrade[[#This Row],[Status]] = "CYS", "DoD", StatusBranchGrade[[#This Row],[Rank]] &amp; "")</f>
        <v>E-8</v>
      </c>
      <c r="F217" t="s">
        <v>98</v>
      </c>
      <c r="G217" t="str">
        <f>IF(StatusBranchGrade[[#This Row],[Rank]] = StatusBranchGrade[[#This Row],[Grade]], StatusBranchGrade[[#This Row],[Rank]], StatusBranchGrade[[#This Row],[Grade]] &amp; "/" &amp; StatusBranchGrade[[#This Row],[Rank]]) &amp; ""</f>
        <v>E-8</v>
      </c>
      <c r="H2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E-8</v>
      </c>
      <c r="I217" s="17" t="str">
        <f>SUBSTITUTE(SUBSTITUTE(SUBSTITUTE(StatusBranchGrade[[#This Row],[Status]] &amp; "  /  " &amp; StatusBranchGrade[[#This Row],[Branch]] &amp; ";", "  /  ;", ";"), "  /  ;", ";"), ";", "")</f>
        <v>Active Duty  /  Army</v>
      </c>
      <c r="J217">
        <v>12</v>
      </c>
      <c r="K217" s="17" t="str">
        <f>IF(LEFT(StatusBranchGrade[[#This Row],[Which]], 1) = "1", StatusBranchGrade[[#This Row],[Key]], "")</f>
        <v>Active Duty  /  Army  /  E-8</v>
      </c>
      <c r="L217" s="17" t="str">
        <f>IF(LEFT(StatusBranchGrade[[#This Row],[Which]], 1) = "1", StatusBranchGrade[[#This Row],[Key0]], "")</f>
        <v>Active Duty  /  Army</v>
      </c>
      <c r="M217" s="17" t="str">
        <f>IF(RIGHT(StatusBranchGrade[[#This Row],[Which]], 1) = "2", StatusBranchGrade[[#This Row],[Key]], "")</f>
        <v>Active Duty  /  Army  /  E-8</v>
      </c>
      <c r="N217" s="17" t="str">
        <f>IF(RIGHT(StatusBranchGrade[[#This Row],[Which]], 1) = "2", StatusBranchGrade[[#This Row],[Key0]], "")</f>
        <v>Active Duty  /  Army</v>
      </c>
      <c r="O217" s="17" t="s">
        <v>296</v>
      </c>
      <c r="P217" s="17"/>
      <c r="Q217" s="63">
        <f>--ISNUMBER(IF(StatusBranchGrade[[#This Row],[Sponsor0]] = 'Calculation Worksheet'!$AV$6 &amp; "  /  " &amp; 'Calculation Worksheet'!$AV$7, 1, ""))</f>
        <v>0</v>
      </c>
      <c r="R217" s="63" t="str">
        <f>IF(StatusBranchGrade[[#This Row],[S1]] = 1, COUNTIF($Q$3:Q217, 1), "")</f>
        <v/>
      </c>
      <c r="S217" s="63" t="str">
        <f>IFERROR(INDEX(StatusBranchGrade[Rank/Grade], MATCH(ROWS($R$3:R217)-1, StatusBranchGrade[S2], 0)), "") &amp; ""</f>
        <v/>
      </c>
      <c r="T217" s="63">
        <f>--ISNUMBER(IF(StatusBranchGrade[[#This Row],[Spouse0]] = 'Calculation Worksheet'!$CG$6 &amp; "  /  " &amp; 'Calculation Worksheet'!$CG$7, 1, ""))</f>
        <v>0</v>
      </c>
      <c r="U217" s="63" t="str">
        <f>IF(StatusBranchGrade[[#This Row],[T1]] = 1, COUNTIF($T$3:T217, 1), "")</f>
        <v/>
      </c>
      <c r="V217" s="63" t="str">
        <f>IFERROR(INDEX(StatusBranchGrade[Rank/Grade], MATCH(ROWS($U$3:U217)-1, StatusBranchGrade[T2], 0)), "") &amp; ""</f>
        <v/>
      </c>
      <c r="W217" s="63"/>
    </row>
    <row r="218" spans="1:23" x14ac:dyDescent="0.25">
      <c r="A218">
        <v>5</v>
      </c>
      <c r="B218" t="s">
        <v>216</v>
      </c>
      <c r="C218" t="s">
        <v>180</v>
      </c>
      <c r="D218" t="s">
        <v>97</v>
      </c>
      <c r="E218" t="str">
        <f>IF(StatusBranchGrade[[#This Row],[Status]] = "CYS", "DoD", StatusBranchGrade[[#This Row],[Rank]] &amp; "")</f>
        <v>E-9</v>
      </c>
      <c r="F218" t="s">
        <v>97</v>
      </c>
      <c r="G218" t="str">
        <f>IF(StatusBranchGrade[[#This Row],[Rank]] = StatusBranchGrade[[#This Row],[Grade]], StatusBranchGrade[[#This Row],[Rank]], StatusBranchGrade[[#This Row],[Grade]] &amp; "/" &amp; StatusBranchGrade[[#This Row],[Rank]]) &amp; ""</f>
        <v>E-9</v>
      </c>
      <c r="H2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E-9</v>
      </c>
      <c r="I218" s="17" t="str">
        <f>SUBSTITUTE(SUBSTITUTE(SUBSTITUTE(StatusBranchGrade[[#This Row],[Status]] &amp; "  /  " &amp; StatusBranchGrade[[#This Row],[Branch]] &amp; ";", "  /  ;", ";"), "  /  ;", ";"), ";", "")</f>
        <v>Active Duty  /  Army</v>
      </c>
      <c r="J218">
        <v>12</v>
      </c>
      <c r="K218" s="17" t="str">
        <f>IF(LEFT(StatusBranchGrade[[#This Row],[Which]], 1) = "1", StatusBranchGrade[[#This Row],[Key]], "")</f>
        <v>Active Duty  /  Army  /  E-9</v>
      </c>
      <c r="L218" s="17" t="str">
        <f>IF(LEFT(StatusBranchGrade[[#This Row],[Which]], 1) = "1", StatusBranchGrade[[#This Row],[Key0]], "")</f>
        <v>Active Duty  /  Army</v>
      </c>
      <c r="M218" s="17" t="str">
        <f>IF(RIGHT(StatusBranchGrade[[#This Row],[Which]], 1) = "2", StatusBranchGrade[[#This Row],[Key]], "")</f>
        <v>Active Duty  /  Army  /  E-9</v>
      </c>
      <c r="N218" s="17" t="str">
        <f>IF(RIGHT(StatusBranchGrade[[#This Row],[Which]], 1) = "2", StatusBranchGrade[[#This Row],[Key0]], "")</f>
        <v>Active Duty  /  Army</v>
      </c>
      <c r="O218" s="17" t="s">
        <v>296</v>
      </c>
      <c r="P218" s="17"/>
      <c r="Q218" s="63">
        <f>--ISNUMBER(IF(StatusBranchGrade[[#This Row],[Sponsor0]] = 'Calculation Worksheet'!$AV$6 &amp; "  /  " &amp; 'Calculation Worksheet'!$AV$7, 1, ""))</f>
        <v>0</v>
      </c>
      <c r="R218" s="63" t="str">
        <f>IF(StatusBranchGrade[[#This Row],[S1]] = 1, COUNTIF($Q$3:Q218, 1), "")</f>
        <v/>
      </c>
      <c r="S218" s="63" t="str">
        <f>IFERROR(INDEX(StatusBranchGrade[Rank/Grade], MATCH(ROWS($R$3:R218)-1, StatusBranchGrade[S2], 0)), "") &amp; ""</f>
        <v/>
      </c>
      <c r="T218" s="63">
        <f>--ISNUMBER(IF(StatusBranchGrade[[#This Row],[Spouse0]] = 'Calculation Worksheet'!$CG$6 &amp; "  /  " &amp; 'Calculation Worksheet'!$CG$7, 1, ""))</f>
        <v>0</v>
      </c>
      <c r="U218" s="63" t="str">
        <f>IF(StatusBranchGrade[[#This Row],[T1]] = 1, COUNTIF($T$3:T218, 1), "")</f>
        <v/>
      </c>
      <c r="V218" s="63" t="str">
        <f>IFERROR(INDEX(StatusBranchGrade[Rank/Grade], MATCH(ROWS($U$3:U218)-1, StatusBranchGrade[T2], 0)), "") &amp; ""</f>
        <v/>
      </c>
      <c r="W218" s="63"/>
    </row>
    <row r="219" spans="1:23" x14ac:dyDescent="0.25">
      <c r="A219">
        <v>5</v>
      </c>
      <c r="B219" t="s">
        <v>216</v>
      </c>
      <c r="C219" t="s">
        <v>180</v>
      </c>
      <c r="D219" t="s">
        <v>92</v>
      </c>
      <c r="E219" t="str">
        <f>IF(StatusBranchGrade[[#This Row],[Status]] = "CYS", "DoD", StatusBranchGrade[[#This Row],[Rank]] &amp; "")</f>
        <v>W-5</v>
      </c>
      <c r="F219" t="s">
        <v>178</v>
      </c>
      <c r="G219" t="str">
        <f>IF(StatusBranchGrade[[#This Row],[Rank]] = StatusBranchGrade[[#This Row],[Grade]], StatusBranchGrade[[#This Row],[Rank]], StatusBranchGrade[[#This Row],[Grade]] &amp; "/" &amp; StatusBranchGrade[[#This Row],[Rank]]) &amp; ""</f>
        <v>MW5/W-5</v>
      </c>
      <c r="H2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MW5/W-5</v>
      </c>
      <c r="I219" s="17" t="str">
        <f>SUBSTITUTE(SUBSTITUTE(SUBSTITUTE(StatusBranchGrade[[#This Row],[Status]] &amp; "  /  " &amp; StatusBranchGrade[[#This Row],[Branch]] &amp; ";", "  /  ;", ";"), "  /  ;", ";"), ";", "")</f>
        <v>Active Duty  /  Army</v>
      </c>
      <c r="J219">
        <v>12</v>
      </c>
      <c r="K219" s="17" t="str">
        <f>IF(LEFT(StatusBranchGrade[[#This Row],[Which]], 1) = "1", StatusBranchGrade[[#This Row],[Key]], "")</f>
        <v>Active Duty  /  Army  /  MW5/W-5</v>
      </c>
      <c r="L219" s="17" t="str">
        <f>IF(LEFT(StatusBranchGrade[[#This Row],[Which]], 1) = "1", StatusBranchGrade[[#This Row],[Key0]], "")</f>
        <v>Active Duty  /  Army</v>
      </c>
      <c r="M219" s="17" t="str">
        <f>IF(RIGHT(StatusBranchGrade[[#This Row],[Which]], 1) = "2", StatusBranchGrade[[#This Row],[Key]], "")</f>
        <v>Active Duty  /  Army  /  MW5/W-5</v>
      </c>
      <c r="N219" s="17" t="str">
        <f>IF(RIGHT(StatusBranchGrade[[#This Row],[Which]], 1) = "2", StatusBranchGrade[[#This Row],[Key0]], "")</f>
        <v>Active Duty  /  Army</v>
      </c>
      <c r="O219" s="17" t="s">
        <v>296</v>
      </c>
      <c r="P219" s="17"/>
      <c r="Q219" s="63">
        <f>--ISNUMBER(IF(StatusBranchGrade[[#This Row],[Sponsor0]] = 'Calculation Worksheet'!$AV$6 &amp; "  /  " &amp; 'Calculation Worksheet'!$AV$7, 1, ""))</f>
        <v>0</v>
      </c>
      <c r="R219" s="63" t="str">
        <f>IF(StatusBranchGrade[[#This Row],[S1]] = 1, COUNTIF($Q$3:Q219, 1), "")</f>
        <v/>
      </c>
      <c r="S219" s="63" t="str">
        <f>IFERROR(INDEX(StatusBranchGrade[Rank/Grade], MATCH(ROWS($R$3:R219)-1, StatusBranchGrade[S2], 0)), "") &amp; ""</f>
        <v/>
      </c>
      <c r="T219" s="63">
        <f>--ISNUMBER(IF(StatusBranchGrade[[#This Row],[Spouse0]] = 'Calculation Worksheet'!$CG$6 &amp; "  /  " &amp; 'Calculation Worksheet'!$CG$7, 1, ""))</f>
        <v>0</v>
      </c>
      <c r="U219" s="63" t="str">
        <f>IF(StatusBranchGrade[[#This Row],[T1]] = 1, COUNTIF($T$3:T219, 1), "")</f>
        <v/>
      </c>
      <c r="V219" s="63" t="str">
        <f>IFERROR(INDEX(StatusBranchGrade[Rank/Grade], MATCH(ROWS($U$3:U219)-1, StatusBranchGrade[T2], 0)), "") &amp; ""</f>
        <v/>
      </c>
      <c r="W219" s="63"/>
    </row>
    <row r="220" spans="1:23" x14ac:dyDescent="0.25">
      <c r="A220">
        <v>5</v>
      </c>
      <c r="B220" t="s">
        <v>216</v>
      </c>
      <c r="C220" t="s">
        <v>180</v>
      </c>
      <c r="D220" t="s">
        <v>91</v>
      </c>
      <c r="E220" t="str">
        <f>IF(StatusBranchGrade[[#This Row],[Status]] = "CYS", "DoD", StatusBranchGrade[[#This Row],[Rank]] &amp; "")</f>
        <v>O-1</v>
      </c>
      <c r="F220" t="s">
        <v>91</v>
      </c>
      <c r="G220" t="str">
        <f>IF(StatusBranchGrade[[#This Row],[Rank]] = StatusBranchGrade[[#This Row],[Grade]], StatusBranchGrade[[#This Row],[Rank]], StatusBranchGrade[[#This Row],[Grade]] &amp; "/" &amp; StatusBranchGrade[[#This Row],[Rank]]) &amp; ""</f>
        <v>O-1</v>
      </c>
      <c r="H2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O-1</v>
      </c>
      <c r="I220" s="17" t="str">
        <f>SUBSTITUTE(SUBSTITUTE(SUBSTITUTE(StatusBranchGrade[[#This Row],[Status]] &amp; "  /  " &amp; StatusBranchGrade[[#This Row],[Branch]] &amp; ";", "  /  ;", ";"), "  /  ;", ";"), ";", "")</f>
        <v>Active Duty  /  Army</v>
      </c>
      <c r="J220">
        <v>12</v>
      </c>
      <c r="K220" s="17" t="str">
        <f>IF(LEFT(StatusBranchGrade[[#This Row],[Which]], 1) = "1", StatusBranchGrade[[#This Row],[Key]], "")</f>
        <v>Active Duty  /  Army  /  O-1</v>
      </c>
      <c r="L220" s="17" t="str">
        <f>IF(LEFT(StatusBranchGrade[[#This Row],[Which]], 1) = "1", StatusBranchGrade[[#This Row],[Key0]], "")</f>
        <v>Active Duty  /  Army</v>
      </c>
      <c r="M220" s="17" t="str">
        <f>IF(RIGHT(StatusBranchGrade[[#This Row],[Which]], 1) = "2", StatusBranchGrade[[#This Row],[Key]], "")</f>
        <v>Active Duty  /  Army  /  O-1</v>
      </c>
      <c r="N220" s="17" t="str">
        <f>IF(RIGHT(StatusBranchGrade[[#This Row],[Which]], 1) = "2", StatusBranchGrade[[#This Row],[Key0]], "")</f>
        <v>Active Duty  /  Army</v>
      </c>
      <c r="O220" s="17" t="s">
        <v>296</v>
      </c>
      <c r="P220" s="17"/>
      <c r="Q220" s="63">
        <f>--ISNUMBER(IF(StatusBranchGrade[[#This Row],[Sponsor0]] = 'Calculation Worksheet'!$AV$6 &amp; "  /  " &amp; 'Calculation Worksheet'!$AV$7, 1, ""))</f>
        <v>0</v>
      </c>
      <c r="R220" s="63" t="str">
        <f>IF(StatusBranchGrade[[#This Row],[S1]] = 1, COUNTIF($Q$3:Q220, 1), "")</f>
        <v/>
      </c>
      <c r="S220" s="63" t="str">
        <f>IFERROR(INDEX(StatusBranchGrade[Rank/Grade], MATCH(ROWS($R$3:R220)-1, StatusBranchGrade[S2], 0)), "") &amp; ""</f>
        <v/>
      </c>
      <c r="T220" s="63">
        <f>--ISNUMBER(IF(StatusBranchGrade[[#This Row],[Spouse0]] = 'Calculation Worksheet'!$CG$6 &amp; "  /  " &amp; 'Calculation Worksheet'!$CG$7, 1, ""))</f>
        <v>0</v>
      </c>
      <c r="U220" s="63" t="str">
        <f>IF(StatusBranchGrade[[#This Row],[T1]] = 1, COUNTIF($T$3:T220, 1), "")</f>
        <v/>
      </c>
      <c r="V220" s="63" t="str">
        <f>IFERROR(INDEX(StatusBranchGrade[Rank/Grade], MATCH(ROWS($U$3:U220)-1, StatusBranchGrade[T2], 0)), "") &amp; ""</f>
        <v/>
      </c>
      <c r="W220" s="63"/>
    </row>
    <row r="221" spans="1:23" x14ac:dyDescent="0.25">
      <c r="A221">
        <v>5</v>
      </c>
      <c r="B221" t="s">
        <v>216</v>
      </c>
      <c r="C221" t="s">
        <v>180</v>
      </c>
      <c r="D221" s="75" t="s">
        <v>10</v>
      </c>
      <c r="E221" s="75" t="str">
        <f>IF(StatusBranchGrade[[#This Row],[Status]] = "CYS", "DoD", StatusBranchGrade[[#This Row],[Rank]] &amp; "")</f>
        <v>O1E</v>
      </c>
      <c r="F221" s="75" t="s">
        <v>91</v>
      </c>
      <c r="G221" s="75" t="str">
        <f>IF(StatusBranchGrade[[#This Row],[Rank]] = StatusBranchGrade[[#This Row],[Grade]], StatusBranchGrade[[#This Row],[Rank]], StatusBranchGrade[[#This Row],[Grade]] &amp; "/" &amp; StatusBranchGrade[[#This Row],[Rank]]) &amp; ""</f>
        <v>O-1/O1E</v>
      </c>
      <c r="H2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O-1/O1E</v>
      </c>
      <c r="I221" s="17" t="str">
        <f>SUBSTITUTE(SUBSTITUTE(SUBSTITUTE(StatusBranchGrade[[#This Row],[Status]] &amp; "  /  " &amp; StatusBranchGrade[[#This Row],[Branch]] &amp; ";", "  /  ;", ";"), "  /  ;", ";"), ";", "")</f>
        <v>Active Duty  /  Army</v>
      </c>
      <c r="J221">
        <v>12</v>
      </c>
      <c r="K221" s="17" t="str">
        <f>IF(LEFT(StatusBranchGrade[[#This Row],[Which]], 1) = "1", StatusBranchGrade[[#This Row],[Key]], "")</f>
        <v>Active Duty  /  Army  /  O-1/O1E</v>
      </c>
      <c r="L221" s="17" t="str">
        <f>IF(LEFT(StatusBranchGrade[[#This Row],[Which]], 1) = "1", StatusBranchGrade[[#This Row],[Key0]], "")</f>
        <v>Active Duty  /  Army</v>
      </c>
      <c r="M221" s="17" t="str">
        <f>IF(RIGHT(StatusBranchGrade[[#This Row],[Which]], 1) = "2", StatusBranchGrade[[#This Row],[Key]], "")</f>
        <v>Active Duty  /  Army  /  O-1/O1E</v>
      </c>
      <c r="N221" s="17" t="str">
        <f>IF(RIGHT(StatusBranchGrade[[#This Row],[Which]], 1) = "2", StatusBranchGrade[[#This Row],[Key0]], "")</f>
        <v>Active Duty  /  Army</v>
      </c>
      <c r="O221" s="17" t="s">
        <v>296</v>
      </c>
      <c r="P221" s="17"/>
      <c r="Q221" s="63">
        <f>--ISNUMBER(IF(StatusBranchGrade[[#This Row],[Sponsor0]] = 'Calculation Worksheet'!$AV$6 &amp; "  /  " &amp; 'Calculation Worksheet'!$AV$7, 1, ""))</f>
        <v>0</v>
      </c>
      <c r="R221" s="63" t="str">
        <f>IF(StatusBranchGrade[[#This Row],[S1]] = 1, COUNTIF($Q$3:Q221, 1), "")</f>
        <v/>
      </c>
      <c r="S221" s="63" t="str">
        <f>IFERROR(INDEX(StatusBranchGrade[Rank/Grade], MATCH(ROWS($R$3:R221)-1, StatusBranchGrade[S2], 0)), "") &amp; ""</f>
        <v/>
      </c>
      <c r="T221" s="63">
        <f>--ISNUMBER(IF(StatusBranchGrade[[#This Row],[Spouse0]] = 'Calculation Worksheet'!$CG$6 &amp; "  /  " &amp; 'Calculation Worksheet'!$CG$7, 1, ""))</f>
        <v>0</v>
      </c>
      <c r="U221" s="63" t="str">
        <f>IF(StatusBranchGrade[[#This Row],[T1]] = 1, COUNTIF($T$3:T221, 1), "")</f>
        <v/>
      </c>
      <c r="V221" s="63" t="str">
        <f>IFERROR(INDEX(StatusBranchGrade[Rank/Grade], MATCH(ROWS($U$3:U221)-1, StatusBranchGrade[T2], 0)), "") &amp; ""</f>
        <v/>
      </c>
      <c r="W221" s="63"/>
    </row>
    <row r="222" spans="1:23" x14ac:dyDescent="0.25">
      <c r="A222">
        <v>5</v>
      </c>
      <c r="B222" t="s">
        <v>216</v>
      </c>
      <c r="C222" t="s">
        <v>180</v>
      </c>
      <c r="D222" t="s">
        <v>82</v>
      </c>
      <c r="E222" t="str">
        <f>IF(StatusBranchGrade[[#This Row],[Status]] = "CYS", "DoD", StatusBranchGrade[[#This Row],[Rank]] &amp; "")</f>
        <v>O-10</v>
      </c>
      <c r="F222" t="s">
        <v>82</v>
      </c>
      <c r="G222" t="str">
        <f>IF(StatusBranchGrade[[#This Row],[Rank]] = StatusBranchGrade[[#This Row],[Grade]], StatusBranchGrade[[#This Row],[Rank]], StatusBranchGrade[[#This Row],[Grade]] &amp; "/" &amp; StatusBranchGrade[[#This Row],[Rank]]) &amp; ""</f>
        <v>O-10</v>
      </c>
      <c r="H2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O-10</v>
      </c>
      <c r="I222" s="17" t="str">
        <f>SUBSTITUTE(SUBSTITUTE(SUBSTITUTE(StatusBranchGrade[[#This Row],[Status]] &amp; "  /  " &amp; StatusBranchGrade[[#This Row],[Branch]] &amp; ";", "  /  ;", ";"), "  /  ;", ";"), ";", "")</f>
        <v>Active Duty  /  Army</v>
      </c>
      <c r="J222">
        <v>12</v>
      </c>
      <c r="K222" s="17" t="str">
        <f>IF(LEFT(StatusBranchGrade[[#This Row],[Which]], 1) = "1", StatusBranchGrade[[#This Row],[Key]], "")</f>
        <v>Active Duty  /  Army  /  O-10</v>
      </c>
      <c r="L222" s="17" t="str">
        <f>IF(LEFT(StatusBranchGrade[[#This Row],[Which]], 1) = "1", StatusBranchGrade[[#This Row],[Key0]], "")</f>
        <v>Active Duty  /  Army</v>
      </c>
      <c r="M222" s="17" t="str">
        <f>IF(RIGHT(StatusBranchGrade[[#This Row],[Which]], 1) = "2", StatusBranchGrade[[#This Row],[Key]], "")</f>
        <v>Active Duty  /  Army  /  O-10</v>
      </c>
      <c r="N222" s="17" t="str">
        <f>IF(RIGHT(StatusBranchGrade[[#This Row],[Which]], 1) = "2", StatusBranchGrade[[#This Row],[Key0]], "")</f>
        <v>Active Duty  /  Army</v>
      </c>
      <c r="O222" s="17" t="s">
        <v>296</v>
      </c>
      <c r="P222" s="17"/>
      <c r="Q222" s="63">
        <f>--ISNUMBER(IF(StatusBranchGrade[[#This Row],[Sponsor0]] = 'Calculation Worksheet'!$AV$6 &amp; "  /  " &amp; 'Calculation Worksheet'!$AV$7, 1, ""))</f>
        <v>0</v>
      </c>
      <c r="R222" s="63" t="str">
        <f>IF(StatusBranchGrade[[#This Row],[S1]] = 1, COUNTIF($Q$3:Q222, 1), "")</f>
        <v/>
      </c>
      <c r="S222" s="63" t="str">
        <f>IFERROR(INDEX(StatusBranchGrade[Rank/Grade], MATCH(ROWS($R$3:R222)-1, StatusBranchGrade[S2], 0)), "") &amp; ""</f>
        <v/>
      </c>
      <c r="T222" s="63">
        <f>--ISNUMBER(IF(StatusBranchGrade[[#This Row],[Spouse0]] = 'Calculation Worksheet'!$CG$6 &amp; "  /  " &amp; 'Calculation Worksheet'!$CG$7, 1, ""))</f>
        <v>0</v>
      </c>
      <c r="U222" s="63" t="str">
        <f>IF(StatusBranchGrade[[#This Row],[T1]] = 1, COUNTIF($T$3:T222, 1), "")</f>
        <v/>
      </c>
      <c r="V222" s="63" t="str">
        <f>IFERROR(INDEX(StatusBranchGrade[Rank/Grade], MATCH(ROWS($U$3:U222)-1, StatusBranchGrade[T2], 0)), "") &amp; ""</f>
        <v/>
      </c>
      <c r="W222" s="63"/>
    </row>
    <row r="223" spans="1:23" x14ac:dyDescent="0.25">
      <c r="A223">
        <v>5</v>
      </c>
      <c r="B223" t="s">
        <v>216</v>
      </c>
      <c r="C223" t="s">
        <v>180</v>
      </c>
      <c r="D223" t="s">
        <v>90</v>
      </c>
      <c r="E223" t="str">
        <f>IF(StatusBranchGrade[[#This Row],[Status]] = "CYS", "DoD", StatusBranchGrade[[#This Row],[Rank]] &amp; "")</f>
        <v>O-2</v>
      </c>
      <c r="F223" t="s">
        <v>90</v>
      </c>
      <c r="G223" t="str">
        <f>IF(StatusBranchGrade[[#This Row],[Rank]] = StatusBranchGrade[[#This Row],[Grade]], StatusBranchGrade[[#This Row],[Rank]], StatusBranchGrade[[#This Row],[Grade]] &amp; "/" &amp; StatusBranchGrade[[#This Row],[Rank]]) &amp; ""</f>
        <v>O-2</v>
      </c>
      <c r="H2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O-2</v>
      </c>
      <c r="I223" s="17" t="str">
        <f>SUBSTITUTE(SUBSTITUTE(SUBSTITUTE(StatusBranchGrade[[#This Row],[Status]] &amp; "  /  " &amp; StatusBranchGrade[[#This Row],[Branch]] &amp; ";", "  /  ;", ";"), "  /  ;", ";"), ";", "")</f>
        <v>Active Duty  /  Army</v>
      </c>
      <c r="J223">
        <v>12</v>
      </c>
      <c r="K223" s="17" t="str">
        <f>IF(LEFT(StatusBranchGrade[[#This Row],[Which]], 1) = "1", StatusBranchGrade[[#This Row],[Key]], "")</f>
        <v>Active Duty  /  Army  /  O-2</v>
      </c>
      <c r="L223" s="17" t="str">
        <f>IF(LEFT(StatusBranchGrade[[#This Row],[Which]], 1) = "1", StatusBranchGrade[[#This Row],[Key0]], "")</f>
        <v>Active Duty  /  Army</v>
      </c>
      <c r="M223" s="17" t="str">
        <f>IF(RIGHT(StatusBranchGrade[[#This Row],[Which]], 1) = "2", StatusBranchGrade[[#This Row],[Key]], "")</f>
        <v>Active Duty  /  Army  /  O-2</v>
      </c>
      <c r="N223" s="17" t="str">
        <f>IF(RIGHT(StatusBranchGrade[[#This Row],[Which]], 1) = "2", StatusBranchGrade[[#This Row],[Key0]], "")</f>
        <v>Active Duty  /  Army</v>
      </c>
      <c r="O223" s="17" t="s">
        <v>296</v>
      </c>
      <c r="P223" s="17"/>
      <c r="Q223" s="63">
        <f>--ISNUMBER(IF(StatusBranchGrade[[#This Row],[Sponsor0]] = 'Calculation Worksheet'!$AV$6 &amp; "  /  " &amp; 'Calculation Worksheet'!$AV$7, 1, ""))</f>
        <v>0</v>
      </c>
      <c r="R223" s="63" t="str">
        <f>IF(StatusBranchGrade[[#This Row],[S1]] = 1, COUNTIF($Q$3:Q223, 1), "")</f>
        <v/>
      </c>
      <c r="S223" s="63" t="str">
        <f>IFERROR(INDEX(StatusBranchGrade[Rank/Grade], MATCH(ROWS($R$3:R223)-1, StatusBranchGrade[S2], 0)), "") &amp; ""</f>
        <v/>
      </c>
      <c r="T223" s="63">
        <f>--ISNUMBER(IF(StatusBranchGrade[[#This Row],[Spouse0]] = 'Calculation Worksheet'!$CG$6 &amp; "  /  " &amp; 'Calculation Worksheet'!$CG$7, 1, ""))</f>
        <v>0</v>
      </c>
      <c r="U223" s="63" t="str">
        <f>IF(StatusBranchGrade[[#This Row],[T1]] = 1, COUNTIF($T$3:T223, 1), "")</f>
        <v/>
      </c>
      <c r="V223" s="63" t="str">
        <f>IFERROR(INDEX(StatusBranchGrade[Rank/Grade], MATCH(ROWS($U$3:U223)-1, StatusBranchGrade[T2], 0)), "") &amp; ""</f>
        <v/>
      </c>
      <c r="W223" s="63"/>
    </row>
    <row r="224" spans="1:23" x14ac:dyDescent="0.25">
      <c r="A224">
        <v>5</v>
      </c>
      <c r="B224" t="s">
        <v>216</v>
      </c>
      <c r="C224" t="s">
        <v>180</v>
      </c>
      <c r="D224" s="75" t="s">
        <v>11</v>
      </c>
      <c r="E224" s="75" t="str">
        <f>IF(StatusBranchGrade[[#This Row],[Status]] = "CYS", "DoD", StatusBranchGrade[[#This Row],[Rank]] &amp; "")</f>
        <v>O2E</v>
      </c>
      <c r="F224" s="75" t="s">
        <v>90</v>
      </c>
      <c r="G224" s="75" t="str">
        <f>IF(StatusBranchGrade[[#This Row],[Rank]] = StatusBranchGrade[[#This Row],[Grade]], StatusBranchGrade[[#This Row],[Rank]], StatusBranchGrade[[#This Row],[Grade]] &amp; "/" &amp; StatusBranchGrade[[#This Row],[Rank]]) &amp; ""</f>
        <v>O-2/O2E</v>
      </c>
      <c r="H2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O-2/O2E</v>
      </c>
      <c r="I224" s="17" t="str">
        <f>SUBSTITUTE(SUBSTITUTE(SUBSTITUTE(StatusBranchGrade[[#This Row],[Status]] &amp; "  /  " &amp; StatusBranchGrade[[#This Row],[Branch]] &amp; ";", "  /  ;", ";"), "  /  ;", ";"), ";", "")</f>
        <v>Active Duty  /  Army</v>
      </c>
      <c r="J224">
        <v>12</v>
      </c>
      <c r="K224" s="17" t="str">
        <f>IF(LEFT(StatusBranchGrade[[#This Row],[Which]], 1) = "1", StatusBranchGrade[[#This Row],[Key]], "")</f>
        <v>Active Duty  /  Army  /  O-2/O2E</v>
      </c>
      <c r="L224" s="17" t="str">
        <f>IF(LEFT(StatusBranchGrade[[#This Row],[Which]], 1) = "1", StatusBranchGrade[[#This Row],[Key0]], "")</f>
        <v>Active Duty  /  Army</v>
      </c>
      <c r="M224" s="17" t="str">
        <f>IF(RIGHT(StatusBranchGrade[[#This Row],[Which]], 1) = "2", StatusBranchGrade[[#This Row],[Key]], "")</f>
        <v>Active Duty  /  Army  /  O-2/O2E</v>
      </c>
      <c r="N224" s="17" t="str">
        <f>IF(RIGHT(StatusBranchGrade[[#This Row],[Which]], 1) = "2", StatusBranchGrade[[#This Row],[Key0]], "")</f>
        <v>Active Duty  /  Army</v>
      </c>
      <c r="O224" s="17" t="s">
        <v>296</v>
      </c>
      <c r="P224" s="17"/>
      <c r="Q224" s="63">
        <f>--ISNUMBER(IF(StatusBranchGrade[[#This Row],[Sponsor0]] = 'Calculation Worksheet'!$AV$6 &amp; "  /  " &amp; 'Calculation Worksheet'!$AV$7, 1, ""))</f>
        <v>0</v>
      </c>
      <c r="R224" s="63" t="str">
        <f>IF(StatusBranchGrade[[#This Row],[S1]] = 1, COUNTIF($Q$3:Q224, 1), "")</f>
        <v/>
      </c>
      <c r="S224" s="63" t="str">
        <f>IFERROR(INDEX(StatusBranchGrade[Rank/Grade], MATCH(ROWS($R$3:R224)-1, StatusBranchGrade[S2], 0)), "") &amp; ""</f>
        <v/>
      </c>
      <c r="T224" s="63">
        <f>--ISNUMBER(IF(StatusBranchGrade[[#This Row],[Spouse0]] = 'Calculation Worksheet'!$CG$6 &amp; "  /  " &amp; 'Calculation Worksheet'!$CG$7, 1, ""))</f>
        <v>0</v>
      </c>
      <c r="U224" s="63" t="str">
        <f>IF(StatusBranchGrade[[#This Row],[T1]] = 1, COUNTIF($T$3:T224, 1), "")</f>
        <v/>
      </c>
      <c r="V224" s="63" t="str">
        <f>IFERROR(INDEX(StatusBranchGrade[Rank/Grade], MATCH(ROWS($U$3:U224)-1, StatusBranchGrade[T2], 0)), "") &amp; ""</f>
        <v/>
      </c>
      <c r="W224" s="63"/>
    </row>
    <row r="225" spans="1:23" x14ac:dyDescent="0.25">
      <c r="A225">
        <v>5</v>
      </c>
      <c r="B225" t="s">
        <v>216</v>
      </c>
      <c r="C225" t="s">
        <v>180</v>
      </c>
      <c r="D225" t="s">
        <v>89</v>
      </c>
      <c r="E225" t="str">
        <f>IF(StatusBranchGrade[[#This Row],[Status]] = "CYS", "DoD", StatusBranchGrade[[#This Row],[Rank]] &amp; "")</f>
        <v>O-3</v>
      </c>
      <c r="F225" t="s">
        <v>89</v>
      </c>
      <c r="G225" t="str">
        <f>IF(StatusBranchGrade[[#This Row],[Rank]] = StatusBranchGrade[[#This Row],[Grade]], StatusBranchGrade[[#This Row],[Rank]], StatusBranchGrade[[#This Row],[Grade]] &amp; "/" &amp; StatusBranchGrade[[#This Row],[Rank]]) &amp; ""</f>
        <v>O-3</v>
      </c>
      <c r="H2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O-3</v>
      </c>
      <c r="I225" s="17" t="str">
        <f>SUBSTITUTE(SUBSTITUTE(SUBSTITUTE(StatusBranchGrade[[#This Row],[Status]] &amp; "  /  " &amp; StatusBranchGrade[[#This Row],[Branch]] &amp; ";", "  /  ;", ";"), "  /  ;", ";"), ";", "")</f>
        <v>Active Duty  /  Army</v>
      </c>
      <c r="J225">
        <v>12</v>
      </c>
      <c r="K225" s="17" t="str">
        <f>IF(LEFT(StatusBranchGrade[[#This Row],[Which]], 1) = "1", StatusBranchGrade[[#This Row],[Key]], "")</f>
        <v>Active Duty  /  Army  /  O-3</v>
      </c>
      <c r="L225" s="17" t="str">
        <f>IF(LEFT(StatusBranchGrade[[#This Row],[Which]], 1) = "1", StatusBranchGrade[[#This Row],[Key0]], "")</f>
        <v>Active Duty  /  Army</v>
      </c>
      <c r="M225" s="17" t="str">
        <f>IF(RIGHT(StatusBranchGrade[[#This Row],[Which]], 1) = "2", StatusBranchGrade[[#This Row],[Key]], "")</f>
        <v>Active Duty  /  Army  /  O-3</v>
      </c>
      <c r="N225" s="17" t="str">
        <f>IF(RIGHT(StatusBranchGrade[[#This Row],[Which]], 1) = "2", StatusBranchGrade[[#This Row],[Key0]], "")</f>
        <v>Active Duty  /  Army</v>
      </c>
      <c r="O225" s="17" t="s">
        <v>296</v>
      </c>
      <c r="P225" s="17"/>
      <c r="Q225" s="63">
        <f>--ISNUMBER(IF(StatusBranchGrade[[#This Row],[Sponsor0]] = 'Calculation Worksheet'!$AV$6 &amp; "  /  " &amp; 'Calculation Worksheet'!$AV$7, 1, ""))</f>
        <v>0</v>
      </c>
      <c r="R225" s="63" t="str">
        <f>IF(StatusBranchGrade[[#This Row],[S1]] = 1, COUNTIF($Q$3:Q225, 1), "")</f>
        <v/>
      </c>
      <c r="S225" s="63" t="str">
        <f>IFERROR(INDEX(StatusBranchGrade[Rank/Grade], MATCH(ROWS($R$3:R225)-1, StatusBranchGrade[S2], 0)), "") &amp; ""</f>
        <v/>
      </c>
      <c r="T225" s="63">
        <f>--ISNUMBER(IF(StatusBranchGrade[[#This Row],[Spouse0]] = 'Calculation Worksheet'!$CG$6 &amp; "  /  " &amp; 'Calculation Worksheet'!$CG$7, 1, ""))</f>
        <v>0</v>
      </c>
      <c r="U225" s="63" t="str">
        <f>IF(StatusBranchGrade[[#This Row],[T1]] = 1, COUNTIF($T$3:T225, 1), "")</f>
        <v/>
      </c>
      <c r="V225" s="63" t="str">
        <f>IFERROR(INDEX(StatusBranchGrade[Rank/Grade], MATCH(ROWS($U$3:U225)-1, StatusBranchGrade[T2], 0)), "") &amp; ""</f>
        <v/>
      </c>
      <c r="W225" s="63"/>
    </row>
    <row r="226" spans="1:23" x14ac:dyDescent="0.25">
      <c r="A226">
        <v>5</v>
      </c>
      <c r="B226" t="s">
        <v>216</v>
      </c>
      <c r="C226" t="s">
        <v>180</v>
      </c>
      <c r="D226" s="75" t="s">
        <v>12</v>
      </c>
      <c r="E226" s="75" t="str">
        <f>IF(StatusBranchGrade[[#This Row],[Status]] = "CYS", "DoD", StatusBranchGrade[[#This Row],[Rank]] &amp; "")</f>
        <v>O3E</v>
      </c>
      <c r="F226" s="75" t="s">
        <v>89</v>
      </c>
      <c r="G226" s="75" t="str">
        <f>IF(StatusBranchGrade[[#This Row],[Rank]] = StatusBranchGrade[[#This Row],[Grade]], StatusBranchGrade[[#This Row],[Rank]], StatusBranchGrade[[#This Row],[Grade]] &amp; "/" &amp; StatusBranchGrade[[#This Row],[Rank]]) &amp; ""</f>
        <v>O-3/O3E</v>
      </c>
      <c r="H2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O-3/O3E</v>
      </c>
      <c r="I226" s="17" t="str">
        <f>SUBSTITUTE(SUBSTITUTE(SUBSTITUTE(StatusBranchGrade[[#This Row],[Status]] &amp; "  /  " &amp; StatusBranchGrade[[#This Row],[Branch]] &amp; ";", "  /  ;", ";"), "  /  ;", ";"), ";", "")</f>
        <v>Active Duty  /  Army</v>
      </c>
      <c r="J226">
        <v>12</v>
      </c>
      <c r="K226" s="17" t="str">
        <f>IF(LEFT(StatusBranchGrade[[#This Row],[Which]], 1) = "1", StatusBranchGrade[[#This Row],[Key]], "")</f>
        <v>Active Duty  /  Army  /  O-3/O3E</v>
      </c>
      <c r="L226" s="17" t="str">
        <f>IF(LEFT(StatusBranchGrade[[#This Row],[Which]], 1) = "1", StatusBranchGrade[[#This Row],[Key0]], "")</f>
        <v>Active Duty  /  Army</v>
      </c>
      <c r="M226" s="17" t="str">
        <f>IF(RIGHT(StatusBranchGrade[[#This Row],[Which]], 1) = "2", StatusBranchGrade[[#This Row],[Key]], "")</f>
        <v>Active Duty  /  Army  /  O-3/O3E</v>
      </c>
      <c r="N226" s="17" t="str">
        <f>IF(RIGHT(StatusBranchGrade[[#This Row],[Which]], 1) = "2", StatusBranchGrade[[#This Row],[Key0]], "")</f>
        <v>Active Duty  /  Army</v>
      </c>
      <c r="O226" s="17" t="s">
        <v>296</v>
      </c>
      <c r="P226" s="17"/>
      <c r="Q226" s="63">
        <f>--ISNUMBER(IF(StatusBranchGrade[[#This Row],[Sponsor0]] = 'Calculation Worksheet'!$AV$6 &amp; "  /  " &amp; 'Calculation Worksheet'!$AV$7, 1, ""))</f>
        <v>0</v>
      </c>
      <c r="R226" s="63" t="str">
        <f>IF(StatusBranchGrade[[#This Row],[S1]] = 1, COUNTIF($Q$3:Q226, 1), "")</f>
        <v/>
      </c>
      <c r="S226" s="63" t="str">
        <f>IFERROR(INDEX(StatusBranchGrade[Rank/Grade], MATCH(ROWS($R$3:R226)-1, StatusBranchGrade[S2], 0)), "") &amp; ""</f>
        <v/>
      </c>
      <c r="T226" s="63">
        <f>--ISNUMBER(IF(StatusBranchGrade[[#This Row],[Spouse0]] = 'Calculation Worksheet'!$CG$6 &amp; "  /  " &amp; 'Calculation Worksheet'!$CG$7, 1, ""))</f>
        <v>0</v>
      </c>
      <c r="U226" s="63" t="str">
        <f>IF(StatusBranchGrade[[#This Row],[T1]] = 1, COUNTIF($T$3:T226, 1), "")</f>
        <v/>
      </c>
      <c r="V226" s="63" t="str">
        <f>IFERROR(INDEX(StatusBranchGrade[Rank/Grade], MATCH(ROWS($U$3:U226)-1, StatusBranchGrade[T2], 0)), "") &amp; ""</f>
        <v/>
      </c>
      <c r="W226" s="63"/>
    </row>
    <row r="227" spans="1:23" x14ac:dyDescent="0.25">
      <c r="A227">
        <v>5</v>
      </c>
      <c r="B227" t="s">
        <v>216</v>
      </c>
      <c r="C227" t="s">
        <v>180</v>
      </c>
      <c r="D227" t="s">
        <v>88</v>
      </c>
      <c r="E227" t="str">
        <f>IF(StatusBranchGrade[[#This Row],[Status]] = "CYS", "DoD", StatusBranchGrade[[#This Row],[Rank]] &amp; "")</f>
        <v>O-4</v>
      </c>
      <c r="F227" t="s">
        <v>88</v>
      </c>
      <c r="G227" t="str">
        <f>IF(StatusBranchGrade[[#This Row],[Rank]] = StatusBranchGrade[[#This Row],[Grade]], StatusBranchGrade[[#This Row],[Rank]], StatusBranchGrade[[#This Row],[Grade]] &amp; "/" &amp; StatusBranchGrade[[#This Row],[Rank]]) &amp; ""</f>
        <v>O-4</v>
      </c>
      <c r="H2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O-4</v>
      </c>
      <c r="I227" s="17" t="str">
        <f>SUBSTITUTE(SUBSTITUTE(SUBSTITUTE(StatusBranchGrade[[#This Row],[Status]] &amp; "  /  " &amp; StatusBranchGrade[[#This Row],[Branch]] &amp; ";", "  /  ;", ";"), "  /  ;", ";"), ";", "")</f>
        <v>Active Duty  /  Army</v>
      </c>
      <c r="J227">
        <v>12</v>
      </c>
      <c r="K227" s="17" t="str">
        <f>IF(LEFT(StatusBranchGrade[[#This Row],[Which]], 1) = "1", StatusBranchGrade[[#This Row],[Key]], "")</f>
        <v>Active Duty  /  Army  /  O-4</v>
      </c>
      <c r="L227" s="17" t="str">
        <f>IF(LEFT(StatusBranchGrade[[#This Row],[Which]], 1) = "1", StatusBranchGrade[[#This Row],[Key0]], "")</f>
        <v>Active Duty  /  Army</v>
      </c>
      <c r="M227" s="17" t="str">
        <f>IF(RIGHT(StatusBranchGrade[[#This Row],[Which]], 1) = "2", StatusBranchGrade[[#This Row],[Key]], "")</f>
        <v>Active Duty  /  Army  /  O-4</v>
      </c>
      <c r="N227" s="17" t="str">
        <f>IF(RIGHT(StatusBranchGrade[[#This Row],[Which]], 1) = "2", StatusBranchGrade[[#This Row],[Key0]], "")</f>
        <v>Active Duty  /  Army</v>
      </c>
      <c r="O227" s="17" t="s">
        <v>296</v>
      </c>
      <c r="P227" s="17"/>
      <c r="Q227" s="63">
        <f>--ISNUMBER(IF(StatusBranchGrade[[#This Row],[Sponsor0]] = 'Calculation Worksheet'!$AV$6 &amp; "  /  " &amp; 'Calculation Worksheet'!$AV$7, 1, ""))</f>
        <v>0</v>
      </c>
      <c r="R227" s="63" t="str">
        <f>IF(StatusBranchGrade[[#This Row],[S1]] = 1, COUNTIF($Q$3:Q227, 1), "")</f>
        <v/>
      </c>
      <c r="S227" s="63" t="str">
        <f>IFERROR(INDEX(StatusBranchGrade[Rank/Grade], MATCH(ROWS($R$3:R227)-1, StatusBranchGrade[S2], 0)), "") &amp; ""</f>
        <v/>
      </c>
      <c r="T227" s="63">
        <f>--ISNUMBER(IF(StatusBranchGrade[[#This Row],[Spouse0]] = 'Calculation Worksheet'!$CG$6 &amp; "  /  " &amp; 'Calculation Worksheet'!$CG$7, 1, ""))</f>
        <v>0</v>
      </c>
      <c r="U227" s="63" t="str">
        <f>IF(StatusBranchGrade[[#This Row],[T1]] = 1, COUNTIF($T$3:T227, 1), "")</f>
        <v/>
      </c>
      <c r="V227" s="63" t="str">
        <f>IFERROR(INDEX(StatusBranchGrade[Rank/Grade], MATCH(ROWS($U$3:U227)-1, StatusBranchGrade[T2], 0)), "") &amp; ""</f>
        <v/>
      </c>
      <c r="W227" s="63"/>
    </row>
    <row r="228" spans="1:23" x14ac:dyDescent="0.25">
      <c r="A228">
        <v>5</v>
      </c>
      <c r="B228" t="s">
        <v>216</v>
      </c>
      <c r="C228" t="s">
        <v>180</v>
      </c>
      <c r="D228" t="s">
        <v>87</v>
      </c>
      <c r="E228" t="str">
        <f>IF(StatusBranchGrade[[#This Row],[Status]] = "CYS", "DoD", StatusBranchGrade[[#This Row],[Rank]] &amp; "")</f>
        <v>O-5</v>
      </c>
      <c r="F228" t="s">
        <v>87</v>
      </c>
      <c r="G228" t="str">
        <f>IF(StatusBranchGrade[[#This Row],[Rank]] = StatusBranchGrade[[#This Row],[Grade]], StatusBranchGrade[[#This Row],[Rank]], StatusBranchGrade[[#This Row],[Grade]] &amp; "/" &amp; StatusBranchGrade[[#This Row],[Rank]]) &amp; ""</f>
        <v>O-5</v>
      </c>
      <c r="H2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O-5</v>
      </c>
      <c r="I228" s="17" t="str">
        <f>SUBSTITUTE(SUBSTITUTE(SUBSTITUTE(StatusBranchGrade[[#This Row],[Status]] &amp; "  /  " &amp; StatusBranchGrade[[#This Row],[Branch]] &amp; ";", "  /  ;", ";"), "  /  ;", ";"), ";", "")</f>
        <v>Active Duty  /  Army</v>
      </c>
      <c r="J228">
        <v>12</v>
      </c>
      <c r="K228" s="17" t="str">
        <f>IF(LEFT(StatusBranchGrade[[#This Row],[Which]], 1) = "1", StatusBranchGrade[[#This Row],[Key]], "")</f>
        <v>Active Duty  /  Army  /  O-5</v>
      </c>
      <c r="L228" s="17" t="str">
        <f>IF(LEFT(StatusBranchGrade[[#This Row],[Which]], 1) = "1", StatusBranchGrade[[#This Row],[Key0]], "")</f>
        <v>Active Duty  /  Army</v>
      </c>
      <c r="M228" s="17" t="str">
        <f>IF(RIGHT(StatusBranchGrade[[#This Row],[Which]], 1) = "2", StatusBranchGrade[[#This Row],[Key]], "")</f>
        <v>Active Duty  /  Army  /  O-5</v>
      </c>
      <c r="N228" s="17" t="str">
        <f>IF(RIGHT(StatusBranchGrade[[#This Row],[Which]], 1) = "2", StatusBranchGrade[[#This Row],[Key0]], "")</f>
        <v>Active Duty  /  Army</v>
      </c>
      <c r="O228" s="17" t="s">
        <v>296</v>
      </c>
      <c r="P228" s="17"/>
      <c r="Q228" s="63">
        <f>--ISNUMBER(IF(StatusBranchGrade[[#This Row],[Sponsor0]] = 'Calculation Worksheet'!$AV$6 &amp; "  /  " &amp; 'Calculation Worksheet'!$AV$7, 1, ""))</f>
        <v>0</v>
      </c>
      <c r="R228" s="63" t="str">
        <f>IF(StatusBranchGrade[[#This Row],[S1]] = 1, COUNTIF($Q$3:Q228, 1), "")</f>
        <v/>
      </c>
      <c r="S228" s="63" t="str">
        <f>IFERROR(INDEX(StatusBranchGrade[Rank/Grade], MATCH(ROWS($R$3:R228)-1, StatusBranchGrade[S2], 0)), "") &amp; ""</f>
        <v/>
      </c>
      <c r="T228" s="63">
        <f>--ISNUMBER(IF(StatusBranchGrade[[#This Row],[Spouse0]] = 'Calculation Worksheet'!$CG$6 &amp; "  /  " &amp; 'Calculation Worksheet'!$CG$7, 1, ""))</f>
        <v>0</v>
      </c>
      <c r="U228" s="63" t="str">
        <f>IF(StatusBranchGrade[[#This Row],[T1]] = 1, COUNTIF($T$3:T228, 1), "")</f>
        <v/>
      </c>
      <c r="V228" s="63" t="str">
        <f>IFERROR(INDEX(StatusBranchGrade[Rank/Grade], MATCH(ROWS($U$3:U228)-1, StatusBranchGrade[T2], 0)), "") &amp; ""</f>
        <v/>
      </c>
      <c r="W228" s="63"/>
    </row>
    <row r="229" spans="1:23" x14ac:dyDescent="0.25">
      <c r="A229">
        <v>5</v>
      </c>
      <c r="B229" t="s">
        <v>216</v>
      </c>
      <c r="C229" t="s">
        <v>180</v>
      </c>
      <c r="D229" t="s">
        <v>86</v>
      </c>
      <c r="E229" t="str">
        <f>IF(StatusBranchGrade[[#This Row],[Status]] = "CYS", "DoD", StatusBranchGrade[[#This Row],[Rank]] &amp; "")</f>
        <v>O-6</v>
      </c>
      <c r="F229" t="s">
        <v>86</v>
      </c>
      <c r="G229" t="str">
        <f>IF(StatusBranchGrade[[#This Row],[Rank]] = StatusBranchGrade[[#This Row],[Grade]], StatusBranchGrade[[#This Row],[Rank]], StatusBranchGrade[[#This Row],[Grade]] &amp; "/" &amp; StatusBranchGrade[[#This Row],[Rank]]) &amp; ""</f>
        <v>O-6</v>
      </c>
      <c r="H2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O-6</v>
      </c>
      <c r="I229" s="17" t="str">
        <f>SUBSTITUTE(SUBSTITUTE(SUBSTITUTE(StatusBranchGrade[[#This Row],[Status]] &amp; "  /  " &amp; StatusBranchGrade[[#This Row],[Branch]] &amp; ";", "  /  ;", ";"), "  /  ;", ";"), ";", "")</f>
        <v>Active Duty  /  Army</v>
      </c>
      <c r="J229">
        <v>12</v>
      </c>
      <c r="K229" s="17" t="str">
        <f>IF(LEFT(StatusBranchGrade[[#This Row],[Which]], 1) = "1", StatusBranchGrade[[#This Row],[Key]], "")</f>
        <v>Active Duty  /  Army  /  O-6</v>
      </c>
      <c r="L229" s="17" t="str">
        <f>IF(LEFT(StatusBranchGrade[[#This Row],[Which]], 1) = "1", StatusBranchGrade[[#This Row],[Key0]], "")</f>
        <v>Active Duty  /  Army</v>
      </c>
      <c r="M229" s="17" t="str">
        <f>IF(RIGHT(StatusBranchGrade[[#This Row],[Which]], 1) = "2", StatusBranchGrade[[#This Row],[Key]], "")</f>
        <v>Active Duty  /  Army  /  O-6</v>
      </c>
      <c r="N229" s="17" t="str">
        <f>IF(RIGHT(StatusBranchGrade[[#This Row],[Which]], 1) = "2", StatusBranchGrade[[#This Row],[Key0]], "")</f>
        <v>Active Duty  /  Army</v>
      </c>
      <c r="O229" s="17" t="s">
        <v>296</v>
      </c>
      <c r="P229" s="17"/>
      <c r="Q229" s="63">
        <f>--ISNUMBER(IF(StatusBranchGrade[[#This Row],[Sponsor0]] = 'Calculation Worksheet'!$AV$6 &amp; "  /  " &amp; 'Calculation Worksheet'!$AV$7, 1, ""))</f>
        <v>0</v>
      </c>
      <c r="R229" s="63" t="str">
        <f>IF(StatusBranchGrade[[#This Row],[S1]] = 1, COUNTIF($Q$3:Q229, 1), "")</f>
        <v/>
      </c>
      <c r="S229" s="63" t="str">
        <f>IFERROR(INDEX(StatusBranchGrade[Rank/Grade], MATCH(ROWS($R$3:R229)-1, StatusBranchGrade[S2], 0)), "") &amp; ""</f>
        <v/>
      </c>
      <c r="T229" s="63">
        <f>--ISNUMBER(IF(StatusBranchGrade[[#This Row],[Spouse0]] = 'Calculation Worksheet'!$CG$6 &amp; "  /  " &amp; 'Calculation Worksheet'!$CG$7, 1, ""))</f>
        <v>0</v>
      </c>
      <c r="U229" s="63" t="str">
        <f>IF(StatusBranchGrade[[#This Row],[T1]] = 1, COUNTIF($T$3:T229, 1), "")</f>
        <v/>
      </c>
      <c r="V229" s="63" t="str">
        <f>IFERROR(INDEX(StatusBranchGrade[Rank/Grade], MATCH(ROWS($U$3:U229)-1, StatusBranchGrade[T2], 0)), "") &amp; ""</f>
        <v/>
      </c>
      <c r="W229" s="63"/>
    </row>
    <row r="230" spans="1:23" x14ac:dyDescent="0.25">
      <c r="A230">
        <v>5</v>
      </c>
      <c r="B230" t="s">
        <v>216</v>
      </c>
      <c r="C230" t="s">
        <v>180</v>
      </c>
      <c r="D230" t="s">
        <v>85</v>
      </c>
      <c r="E230" t="str">
        <f>IF(StatusBranchGrade[[#This Row],[Status]] = "CYS", "DoD", StatusBranchGrade[[#This Row],[Rank]] &amp; "")</f>
        <v>O-7</v>
      </c>
      <c r="F230" t="s">
        <v>85</v>
      </c>
      <c r="G230" t="str">
        <f>IF(StatusBranchGrade[[#This Row],[Rank]] = StatusBranchGrade[[#This Row],[Grade]], StatusBranchGrade[[#This Row],[Rank]], StatusBranchGrade[[#This Row],[Grade]] &amp; "/" &amp; StatusBranchGrade[[#This Row],[Rank]]) &amp; ""</f>
        <v>O-7</v>
      </c>
      <c r="H2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O-7</v>
      </c>
      <c r="I230" s="17" t="str">
        <f>SUBSTITUTE(SUBSTITUTE(SUBSTITUTE(StatusBranchGrade[[#This Row],[Status]] &amp; "  /  " &amp; StatusBranchGrade[[#This Row],[Branch]] &amp; ";", "  /  ;", ";"), "  /  ;", ";"), ";", "")</f>
        <v>Active Duty  /  Army</v>
      </c>
      <c r="J230">
        <v>12</v>
      </c>
      <c r="K230" s="17" t="str">
        <f>IF(LEFT(StatusBranchGrade[[#This Row],[Which]], 1) = "1", StatusBranchGrade[[#This Row],[Key]], "")</f>
        <v>Active Duty  /  Army  /  O-7</v>
      </c>
      <c r="L230" s="17" t="str">
        <f>IF(LEFT(StatusBranchGrade[[#This Row],[Which]], 1) = "1", StatusBranchGrade[[#This Row],[Key0]], "")</f>
        <v>Active Duty  /  Army</v>
      </c>
      <c r="M230" s="17" t="str">
        <f>IF(RIGHT(StatusBranchGrade[[#This Row],[Which]], 1) = "2", StatusBranchGrade[[#This Row],[Key]], "")</f>
        <v>Active Duty  /  Army  /  O-7</v>
      </c>
      <c r="N230" s="17" t="str">
        <f>IF(RIGHT(StatusBranchGrade[[#This Row],[Which]], 1) = "2", StatusBranchGrade[[#This Row],[Key0]], "")</f>
        <v>Active Duty  /  Army</v>
      </c>
      <c r="O230" s="17" t="s">
        <v>296</v>
      </c>
      <c r="P230" s="17"/>
      <c r="Q230" s="63">
        <f>--ISNUMBER(IF(StatusBranchGrade[[#This Row],[Sponsor0]] = 'Calculation Worksheet'!$AV$6 &amp; "  /  " &amp; 'Calculation Worksheet'!$AV$7, 1, ""))</f>
        <v>0</v>
      </c>
      <c r="R230" s="63" t="str">
        <f>IF(StatusBranchGrade[[#This Row],[S1]] = 1, COUNTIF($Q$3:Q230, 1), "")</f>
        <v/>
      </c>
      <c r="S230" s="63" t="str">
        <f>IFERROR(INDEX(StatusBranchGrade[Rank/Grade], MATCH(ROWS($R$3:R230)-1, StatusBranchGrade[S2], 0)), "") &amp; ""</f>
        <v/>
      </c>
      <c r="T230" s="63">
        <f>--ISNUMBER(IF(StatusBranchGrade[[#This Row],[Spouse0]] = 'Calculation Worksheet'!$CG$6 &amp; "  /  " &amp; 'Calculation Worksheet'!$CG$7, 1, ""))</f>
        <v>0</v>
      </c>
      <c r="U230" s="63" t="str">
        <f>IF(StatusBranchGrade[[#This Row],[T1]] = 1, COUNTIF($T$3:T230, 1), "")</f>
        <v/>
      </c>
      <c r="V230" s="63" t="str">
        <f>IFERROR(INDEX(StatusBranchGrade[Rank/Grade], MATCH(ROWS($U$3:U230)-1, StatusBranchGrade[T2], 0)), "") &amp; ""</f>
        <v/>
      </c>
      <c r="W230" s="63"/>
    </row>
    <row r="231" spans="1:23" x14ac:dyDescent="0.25">
      <c r="A231">
        <v>5</v>
      </c>
      <c r="B231" t="s">
        <v>216</v>
      </c>
      <c r="C231" t="s">
        <v>180</v>
      </c>
      <c r="D231" t="s">
        <v>84</v>
      </c>
      <c r="E231" t="str">
        <f>IF(StatusBranchGrade[[#This Row],[Status]] = "CYS", "DoD", StatusBranchGrade[[#This Row],[Rank]] &amp; "")</f>
        <v>O-8</v>
      </c>
      <c r="F231" t="s">
        <v>84</v>
      </c>
      <c r="G231" t="str">
        <f>IF(StatusBranchGrade[[#This Row],[Rank]] = StatusBranchGrade[[#This Row],[Grade]], StatusBranchGrade[[#This Row],[Rank]], StatusBranchGrade[[#This Row],[Grade]] &amp; "/" &amp; StatusBranchGrade[[#This Row],[Rank]]) &amp; ""</f>
        <v>O-8</v>
      </c>
      <c r="H2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O-8</v>
      </c>
      <c r="I231" s="17" t="str">
        <f>SUBSTITUTE(SUBSTITUTE(SUBSTITUTE(StatusBranchGrade[[#This Row],[Status]] &amp; "  /  " &amp; StatusBranchGrade[[#This Row],[Branch]] &amp; ";", "  /  ;", ";"), "  /  ;", ";"), ";", "")</f>
        <v>Active Duty  /  Army</v>
      </c>
      <c r="J231">
        <v>12</v>
      </c>
      <c r="K231" s="17" t="str">
        <f>IF(LEFT(StatusBranchGrade[[#This Row],[Which]], 1) = "1", StatusBranchGrade[[#This Row],[Key]], "")</f>
        <v>Active Duty  /  Army  /  O-8</v>
      </c>
      <c r="L231" s="17" t="str">
        <f>IF(LEFT(StatusBranchGrade[[#This Row],[Which]], 1) = "1", StatusBranchGrade[[#This Row],[Key0]], "")</f>
        <v>Active Duty  /  Army</v>
      </c>
      <c r="M231" s="17" t="str">
        <f>IF(RIGHT(StatusBranchGrade[[#This Row],[Which]], 1) = "2", StatusBranchGrade[[#This Row],[Key]], "")</f>
        <v>Active Duty  /  Army  /  O-8</v>
      </c>
      <c r="N231" s="17" t="str">
        <f>IF(RIGHT(StatusBranchGrade[[#This Row],[Which]], 1) = "2", StatusBranchGrade[[#This Row],[Key0]], "")</f>
        <v>Active Duty  /  Army</v>
      </c>
      <c r="O231" s="17" t="s">
        <v>296</v>
      </c>
      <c r="P231" s="17"/>
      <c r="Q231" s="63">
        <f>--ISNUMBER(IF(StatusBranchGrade[[#This Row],[Sponsor0]] = 'Calculation Worksheet'!$AV$6 &amp; "  /  " &amp; 'Calculation Worksheet'!$AV$7, 1, ""))</f>
        <v>0</v>
      </c>
      <c r="R231" s="63" t="str">
        <f>IF(StatusBranchGrade[[#This Row],[S1]] = 1, COUNTIF($Q$3:Q231, 1), "")</f>
        <v/>
      </c>
      <c r="S231" s="63" t="str">
        <f>IFERROR(INDEX(StatusBranchGrade[Rank/Grade], MATCH(ROWS($R$3:R231)-1, StatusBranchGrade[S2], 0)), "") &amp; ""</f>
        <v/>
      </c>
      <c r="T231" s="63">
        <f>--ISNUMBER(IF(StatusBranchGrade[[#This Row],[Spouse0]] = 'Calculation Worksheet'!$CG$6 &amp; "  /  " &amp; 'Calculation Worksheet'!$CG$7, 1, ""))</f>
        <v>0</v>
      </c>
      <c r="U231" s="63" t="str">
        <f>IF(StatusBranchGrade[[#This Row],[T1]] = 1, COUNTIF($T$3:T231, 1), "")</f>
        <v/>
      </c>
      <c r="V231" s="63" t="str">
        <f>IFERROR(INDEX(StatusBranchGrade[Rank/Grade], MATCH(ROWS($U$3:U231)-1, StatusBranchGrade[T2], 0)), "") &amp; ""</f>
        <v/>
      </c>
      <c r="W231" s="63"/>
    </row>
    <row r="232" spans="1:23" x14ac:dyDescent="0.25">
      <c r="A232">
        <v>5</v>
      </c>
      <c r="B232" t="s">
        <v>216</v>
      </c>
      <c r="C232" t="s">
        <v>180</v>
      </c>
      <c r="D232" t="s">
        <v>83</v>
      </c>
      <c r="E232" t="str">
        <f>IF(StatusBranchGrade[[#This Row],[Status]] = "CYS", "DoD", StatusBranchGrade[[#This Row],[Rank]] &amp; "")</f>
        <v>O-9</v>
      </c>
      <c r="F232" t="s">
        <v>83</v>
      </c>
      <c r="G232" t="str">
        <f>IF(StatusBranchGrade[[#This Row],[Rank]] = StatusBranchGrade[[#This Row],[Grade]], StatusBranchGrade[[#This Row],[Rank]], StatusBranchGrade[[#This Row],[Grade]] &amp; "/" &amp; StatusBranchGrade[[#This Row],[Rank]]) &amp; ""</f>
        <v>O-9</v>
      </c>
      <c r="H2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O-9</v>
      </c>
      <c r="I232" s="17" t="str">
        <f>SUBSTITUTE(SUBSTITUTE(SUBSTITUTE(StatusBranchGrade[[#This Row],[Status]] &amp; "  /  " &amp; StatusBranchGrade[[#This Row],[Branch]] &amp; ";", "  /  ;", ";"), "  /  ;", ";"), ";", "")</f>
        <v>Active Duty  /  Army</v>
      </c>
      <c r="J232">
        <v>12</v>
      </c>
      <c r="K232" s="17" t="str">
        <f>IF(LEFT(StatusBranchGrade[[#This Row],[Which]], 1) = "1", StatusBranchGrade[[#This Row],[Key]], "")</f>
        <v>Active Duty  /  Army  /  O-9</v>
      </c>
      <c r="L232" s="17" t="str">
        <f>IF(LEFT(StatusBranchGrade[[#This Row],[Which]], 1) = "1", StatusBranchGrade[[#This Row],[Key0]], "")</f>
        <v>Active Duty  /  Army</v>
      </c>
      <c r="M232" s="17" t="str">
        <f>IF(RIGHT(StatusBranchGrade[[#This Row],[Which]], 1) = "2", StatusBranchGrade[[#This Row],[Key]], "")</f>
        <v>Active Duty  /  Army  /  O-9</v>
      </c>
      <c r="N232" s="17" t="str">
        <f>IF(RIGHT(StatusBranchGrade[[#This Row],[Which]], 1) = "2", StatusBranchGrade[[#This Row],[Key0]], "")</f>
        <v>Active Duty  /  Army</v>
      </c>
      <c r="O232" s="17" t="s">
        <v>296</v>
      </c>
      <c r="P232" s="17"/>
      <c r="Q232" s="63">
        <f>--ISNUMBER(IF(StatusBranchGrade[[#This Row],[Sponsor0]] = 'Calculation Worksheet'!$AV$6 &amp; "  /  " &amp; 'Calculation Worksheet'!$AV$7, 1, ""))</f>
        <v>0</v>
      </c>
      <c r="R232" s="63" t="str">
        <f>IF(StatusBranchGrade[[#This Row],[S1]] = 1, COUNTIF($Q$3:Q232, 1), "")</f>
        <v/>
      </c>
      <c r="S232" s="63" t="str">
        <f>IFERROR(INDEX(StatusBranchGrade[Rank/Grade], MATCH(ROWS($R$3:R232)-1, StatusBranchGrade[S2], 0)), "") &amp; ""</f>
        <v/>
      </c>
      <c r="T232" s="63">
        <f>--ISNUMBER(IF(StatusBranchGrade[[#This Row],[Spouse0]] = 'Calculation Worksheet'!$CG$6 &amp; "  /  " &amp; 'Calculation Worksheet'!$CG$7, 1, ""))</f>
        <v>0</v>
      </c>
      <c r="U232" s="63" t="str">
        <f>IF(StatusBranchGrade[[#This Row],[T1]] = 1, COUNTIF($T$3:T232, 1), "")</f>
        <v/>
      </c>
      <c r="V232" s="63" t="str">
        <f>IFERROR(INDEX(StatusBranchGrade[Rank/Grade], MATCH(ROWS($U$3:U232)-1, StatusBranchGrade[T2], 0)), "") &amp; ""</f>
        <v/>
      </c>
      <c r="W232" s="63"/>
    </row>
    <row r="233" spans="1:23" x14ac:dyDescent="0.25">
      <c r="A233">
        <v>5</v>
      </c>
      <c r="B233" t="s">
        <v>216</v>
      </c>
      <c r="C233" t="s">
        <v>180</v>
      </c>
      <c r="D233" t="s">
        <v>96</v>
      </c>
      <c r="E233" t="str">
        <f>IF(StatusBranchGrade[[#This Row],[Status]] = "CYS", "DoD", StatusBranchGrade[[#This Row],[Rank]] &amp; "")</f>
        <v>W-1</v>
      </c>
      <c r="F233" t="s">
        <v>179</v>
      </c>
      <c r="G233" t="str">
        <f>IF(StatusBranchGrade[[#This Row],[Rank]] = StatusBranchGrade[[#This Row],[Grade]], StatusBranchGrade[[#This Row],[Rank]], StatusBranchGrade[[#This Row],[Grade]] &amp; "/" &amp; StatusBranchGrade[[#This Row],[Rank]]) &amp; ""</f>
        <v>WO1/W-1</v>
      </c>
      <c r="H2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Army  /  WO1/W-1</v>
      </c>
      <c r="I233" s="17" t="str">
        <f>SUBSTITUTE(SUBSTITUTE(SUBSTITUTE(StatusBranchGrade[[#This Row],[Status]] &amp; "  /  " &amp; StatusBranchGrade[[#This Row],[Branch]] &amp; ";", "  /  ;", ";"), "  /  ;", ";"), ";", "")</f>
        <v>Active Duty  /  Army</v>
      </c>
      <c r="J233">
        <v>12</v>
      </c>
      <c r="K233" s="17" t="str">
        <f>IF(LEFT(StatusBranchGrade[[#This Row],[Which]], 1) = "1", StatusBranchGrade[[#This Row],[Key]], "")</f>
        <v>Active Duty  /  Army  /  WO1/W-1</v>
      </c>
      <c r="L233" s="17" t="str">
        <f>IF(LEFT(StatusBranchGrade[[#This Row],[Which]], 1) = "1", StatusBranchGrade[[#This Row],[Key0]], "")</f>
        <v>Active Duty  /  Army</v>
      </c>
      <c r="M233" s="17" t="str">
        <f>IF(RIGHT(StatusBranchGrade[[#This Row],[Which]], 1) = "2", StatusBranchGrade[[#This Row],[Key]], "")</f>
        <v>Active Duty  /  Army  /  WO1/W-1</v>
      </c>
      <c r="N233" s="17" t="str">
        <f>IF(RIGHT(StatusBranchGrade[[#This Row],[Which]], 1) = "2", StatusBranchGrade[[#This Row],[Key0]], "")</f>
        <v>Active Duty  /  Army</v>
      </c>
      <c r="O233" s="17" t="s">
        <v>296</v>
      </c>
      <c r="P233" s="17"/>
      <c r="Q233" s="63">
        <f>--ISNUMBER(IF(StatusBranchGrade[[#This Row],[Sponsor0]] = 'Calculation Worksheet'!$AV$6 &amp; "  /  " &amp; 'Calculation Worksheet'!$AV$7, 1, ""))</f>
        <v>0</v>
      </c>
      <c r="R233" s="63" t="str">
        <f>IF(StatusBranchGrade[[#This Row],[S1]] = 1, COUNTIF($Q$3:Q233, 1), "")</f>
        <v/>
      </c>
      <c r="S233" s="63" t="str">
        <f>IFERROR(INDEX(StatusBranchGrade[Rank/Grade], MATCH(ROWS($R$3:R233)-1, StatusBranchGrade[S2], 0)), "") &amp; ""</f>
        <v/>
      </c>
      <c r="T233" s="63">
        <f>--ISNUMBER(IF(StatusBranchGrade[[#This Row],[Spouse0]] = 'Calculation Worksheet'!$CG$6 &amp; "  /  " &amp; 'Calculation Worksheet'!$CG$7, 1, ""))</f>
        <v>0</v>
      </c>
      <c r="U233" s="63" t="str">
        <f>IF(StatusBranchGrade[[#This Row],[T1]] = 1, COUNTIF($T$3:T233, 1), "")</f>
        <v/>
      </c>
      <c r="V233" s="63" t="str">
        <f>IFERROR(INDEX(StatusBranchGrade[Rank/Grade], MATCH(ROWS($U$3:U233)-1, StatusBranchGrade[T2], 0)), "") &amp; ""</f>
        <v/>
      </c>
      <c r="W233" s="63"/>
    </row>
    <row r="234" spans="1:23" x14ac:dyDescent="0.25">
      <c r="A234">
        <v>5</v>
      </c>
      <c r="B234" t="s">
        <v>216</v>
      </c>
      <c r="C234" t="s">
        <v>184</v>
      </c>
      <c r="D234" t="s">
        <v>105</v>
      </c>
      <c r="E234" t="str">
        <f>IF(StatusBranchGrade[[#This Row],[Status]] = "CYS", "DoD", StatusBranchGrade[[#This Row],[Rank]] &amp; "")</f>
        <v>E-1</v>
      </c>
      <c r="F234" t="s">
        <v>105</v>
      </c>
      <c r="G234" t="str">
        <f>IF(StatusBranchGrade[[#This Row],[Rank]] = StatusBranchGrade[[#This Row],[Grade]], StatusBranchGrade[[#This Row],[Rank]], StatusBranchGrade[[#This Row],[Grade]] &amp; "/" &amp; StatusBranchGrade[[#This Row],[Rank]]) &amp; ""</f>
        <v>E-1</v>
      </c>
      <c r="H2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E-1</v>
      </c>
      <c r="I234" s="17" t="str">
        <f>SUBSTITUTE(SUBSTITUTE(SUBSTITUTE(StatusBranchGrade[[#This Row],[Status]] &amp; "  /  " &amp; StatusBranchGrade[[#This Row],[Branch]] &amp; ";", "  /  ;", ";"), "  /  ;", ";"), ";", "")</f>
        <v>Active Duty  /  Coast Guard</v>
      </c>
      <c r="J234">
        <v>12</v>
      </c>
      <c r="K234" s="17" t="str">
        <f>IF(LEFT(StatusBranchGrade[[#This Row],[Which]], 1) = "1", StatusBranchGrade[[#This Row],[Key]], "")</f>
        <v>Active Duty  /  Coast Guard  /  E-1</v>
      </c>
      <c r="L234" s="17" t="str">
        <f>IF(LEFT(StatusBranchGrade[[#This Row],[Which]], 1) = "1", StatusBranchGrade[[#This Row],[Key0]], "")</f>
        <v>Active Duty  /  Coast Guard</v>
      </c>
      <c r="M234" s="17" t="str">
        <f>IF(RIGHT(StatusBranchGrade[[#This Row],[Which]], 1) = "2", StatusBranchGrade[[#This Row],[Key]], "")</f>
        <v>Active Duty  /  Coast Guard  /  E-1</v>
      </c>
      <c r="N234" s="17" t="str">
        <f>IF(RIGHT(StatusBranchGrade[[#This Row],[Which]], 1) = "2", StatusBranchGrade[[#This Row],[Key0]], "")</f>
        <v>Active Duty  /  Coast Guard</v>
      </c>
      <c r="O234" s="17" t="s">
        <v>296</v>
      </c>
      <c r="P234" s="17"/>
      <c r="Q234" s="63">
        <f>--ISNUMBER(IF(StatusBranchGrade[[#This Row],[Sponsor0]] = 'Calculation Worksheet'!$AV$6 &amp; "  /  " &amp; 'Calculation Worksheet'!$AV$7, 1, ""))</f>
        <v>0</v>
      </c>
      <c r="R234" s="63" t="str">
        <f>IF(StatusBranchGrade[[#This Row],[S1]] = 1, COUNTIF($Q$3:Q234, 1), "")</f>
        <v/>
      </c>
      <c r="S234" s="63" t="str">
        <f>IFERROR(INDEX(StatusBranchGrade[Rank/Grade], MATCH(ROWS($R$3:R234)-1, StatusBranchGrade[S2], 0)), "") &amp; ""</f>
        <v/>
      </c>
      <c r="T234" s="63">
        <f>--ISNUMBER(IF(StatusBranchGrade[[#This Row],[Spouse0]] = 'Calculation Worksheet'!$CG$6 &amp; "  /  " &amp; 'Calculation Worksheet'!$CG$7, 1, ""))</f>
        <v>0</v>
      </c>
      <c r="U234" s="63" t="str">
        <f>IF(StatusBranchGrade[[#This Row],[T1]] = 1, COUNTIF($T$3:T234, 1), "")</f>
        <v/>
      </c>
      <c r="V234" s="63" t="str">
        <f>IFERROR(INDEX(StatusBranchGrade[Rank/Grade], MATCH(ROWS($U$3:U234)-1, StatusBranchGrade[T2], 0)), "") &amp; ""</f>
        <v/>
      </c>
      <c r="W234" s="63"/>
    </row>
    <row r="235" spans="1:23" x14ac:dyDescent="0.25">
      <c r="A235">
        <v>5</v>
      </c>
      <c r="B235" t="s">
        <v>216</v>
      </c>
      <c r="C235" t="s">
        <v>184</v>
      </c>
      <c r="D235" t="s">
        <v>104</v>
      </c>
      <c r="E235" t="str">
        <f>IF(StatusBranchGrade[[#This Row],[Status]] = "CYS", "DoD", StatusBranchGrade[[#This Row],[Rank]] &amp; "")</f>
        <v>E-2</v>
      </c>
      <c r="F235" t="s">
        <v>104</v>
      </c>
      <c r="G235" t="str">
        <f>IF(StatusBranchGrade[[#This Row],[Rank]] = StatusBranchGrade[[#This Row],[Grade]], StatusBranchGrade[[#This Row],[Rank]], StatusBranchGrade[[#This Row],[Grade]] &amp; "/" &amp; StatusBranchGrade[[#This Row],[Rank]]) &amp; ""</f>
        <v>E-2</v>
      </c>
      <c r="H2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E-2</v>
      </c>
      <c r="I235" s="17" t="str">
        <f>SUBSTITUTE(SUBSTITUTE(SUBSTITUTE(StatusBranchGrade[[#This Row],[Status]] &amp; "  /  " &amp; StatusBranchGrade[[#This Row],[Branch]] &amp; ";", "  /  ;", ";"), "  /  ;", ";"), ";", "")</f>
        <v>Active Duty  /  Coast Guard</v>
      </c>
      <c r="J235">
        <v>12</v>
      </c>
      <c r="K235" s="17" t="str">
        <f>IF(LEFT(StatusBranchGrade[[#This Row],[Which]], 1) = "1", StatusBranchGrade[[#This Row],[Key]], "")</f>
        <v>Active Duty  /  Coast Guard  /  E-2</v>
      </c>
      <c r="L235" s="17" t="str">
        <f>IF(LEFT(StatusBranchGrade[[#This Row],[Which]], 1) = "1", StatusBranchGrade[[#This Row],[Key0]], "")</f>
        <v>Active Duty  /  Coast Guard</v>
      </c>
      <c r="M235" s="17" t="str">
        <f>IF(RIGHT(StatusBranchGrade[[#This Row],[Which]], 1) = "2", StatusBranchGrade[[#This Row],[Key]], "")</f>
        <v>Active Duty  /  Coast Guard  /  E-2</v>
      </c>
      <c r="N235" s="17" t="str">
        <f>IF(RIGHT(StatusBranchGrade[[#This Row],[Which]], 1) = "2", StatusBranchGrade[[#This Row],[Key0]], "")</f>
        <v>Active Duty  /  Coast Guard</v>
      </c>
      <c r="O235" s="17" t="s">
        <v>296</v>
      </c>
      <c r="P235" s="17"/>
      <c r="Q235" s="63">
        <f>--ISNUMBER(IF(StatusBranchGrade[[#This Row],[Sponsor0]] = 'Calculation Worksheet'!$AV$6 &amp; "  /  " &amp; 'Calculation Worksheet'!$AV$7, 1, ""))</f>
        <v>0</v>
      </c>
      <c r="R235" s="63" t="str">
        <f>IF(StatusBranchGrade[[#This Row],[S1]] = 1, COUNTIF($Q$3:Q235, 1), "")</f>
        <v/>
      </c>
      <c r="S235" s="63" t="str">
        <f>IFERROR(INDEX(StatusBranchGrade[Rank/Grade], MATCH(ROWS($R$3:R235)-1, StatusBranchGrade[S2], 0)), "") &amp; ""</f>
        <v/>
      </c>
      <c r="T235" s="63">
        <f>--ISNUMBER(IF(StatusBranchGrade[[#This Row],[Spouse0]] = 'Calculation Worksheet'!$CG$6 &amp; "  /  " &amp; 'Calculation Worksheet'!$CG$7, 1, ""))</f>
        <v>0</v>
      </c>
      <c r="U235" s="63" t="str">
        <f>IF(StatusBranchGrade[[#This Row],[T1]] = 1, COUNTIF($T$3:T235, 1), "")</f>
        <v/>
      </c>
      <c r="V235" s="63" t="str">
        <f>IFERROR(INDEX(StatusBranchGrade[Rank/Grade], MATCH(ROWS($U$3:U235)-1, StatusBranchGrade[T2], 0)), "") &amp; ""</f>
        <v/>
      </c>
      <c r="W235" s="63"/>
    </row>
    <row r="236" spans="1:23" x14ac:dyDescent="0.25">
      <c r="A236">
        <v>5</v>
      </c>
      <c r="B236" t="s">
        <v>216</v>
      </c>
      <c r="C236" t="s">
        <v>184</v>
      </c>
      <c r="D236" t="s">
        <v>103</v>
      </c>
      <c r="E236" t="str">
        <f>IF(StatusBranchGrade[[#This Row],[Status]] = "CYS", "DoD", StatusBranchGrade[[#This Row],[Rank]] &amp; "")</f>
        <v>E-3</v>
      </c>
      <c r="F236" t="s">
        <v>103</v>
      </c>
      <c r="G236" t="str">
        <f>IF(StatusBranchGrade[[#This Row],[Rank]] = StatusBranchGrade[[#This Row],[Grade]], StatusBranchGrade[[#This Row],[Rank]], StatusBranchGrade[[#This Row],[Grade]] &amp; "/" &amp; StatusBranchGrade[[#This Row],[Rank]]) &amp; ""</f>
        <v>E-3</v>
      </c>
      <c r="H2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E-3</v>
      </c>
      <c r="I236" s="17" t="str">
        <f>SUBSTITUTE(SUBSTITUTE(SUBSTITUTE(StatusBranchGrade[[#This Row],[Status]] &amp; "  /  " &amp; StatusBranchGrade[[#This Row],[Branch]] &amp; ";", "  /  ;", ";"), "  /  ;", ";"), ";", "")</f>
        <v>Active Duty  /  Coast Guard</v>
      </c>
      <c r="J236">
        <v>12</v>
      </c>
      <c r="K236" s="17" t="str">
        <f>IF(LEFT(StatusBranchGrade[[#This Row],[Which]], 1) = "1", StatusBranchGrade[[#This Row],[Key]], "")</f>
        <v>Active Duty  /  Coast Guard  /  E-3</v>
      </c>
      <c r="L236" s="17" t="str">
        <f>IF(LEFT(StatusBranchGrade[[#This Row],[Which]], 1) = "1", StatusBranchGrade[[#This Row],[Key0]], "")</f>
        <v>Active Duty  /  Coast Guard</v>
      </c>
      <c r="M236" s="17" t="str">
        <f>IF(RIGHT(StatusBranchGrade[[#This Row],[Which]], 1) = "2", StatusBranchGrade[[#This Row],[Key]], "")</f>
        <v>Active Duty  /  Coast Guard  /  E-3</v>
      </c>
      <c r="N236" s="17" t="str">
        <f>IF(RIGHT(StatusBranchGrade[[#This Row],[Which]], 1) = "2", StatusBranchGrade[[#This Row],[Key0]], "")</f>
        <v>Active Duty  /  Coast Guard</v>
      </c>
      <c r="O236" s="17" t="s">
        <v>296</v>
      </c>
      <c r="P236" s="17"/>
      <c r="Q236" s="63">
        <f>--ISNUMBER(IF(StatusBranchGrade[[#This Row],[Sponsor0]] = 'Calculation Worksheet'!$AV$6 &amp; "  /  " &amp; 'Calculation Worksheet'!$AV$7, 1, ""))</f>
        <v>0</v>
      </c>
      <c r="R236" s="63" t="str">
        <f>IF(StatusBranchGrade[[#This Row],[S1]] = 1, COUNTIF($Q$3:Q236, 1), "")</f>
        <v/>
      </c>
      <c r="S236" s="63" t="str">
        <f>IFERROR(INDEX(StatusBranchGrade[Rank/Grade], MATCH(ROWS($R$3:R236)-1, StatusBranchGrade[S2], 0)), "") &amp; ""</f>
        <v/>
      </c>
      <c r="T236" s="63">
        <f>--ISNUMBER(IF(StatusBranchGrade[[#This Row],[Spouse0]] = 'Calculation Worksheet'!$CG$6 &amp; "  /  " &amp; 'Calculation Worksheet'!$CG$7, 1, ""))</f>
        <v>0</v>
      </c>
      <c r="U236" s="63" t="str">
        <f>IF(StatusBranchGrade[[#This Row],[T1]] = 1, COUNTIF($T$3:T236, 1), "")</f>
        <v/>
      </c>
      <c r="V236" s="63" t="str">
        <f>IFERROR(INDEX(StatusBranchGrade[Rank/Grade], MATCH(ROWS($U$3:U236)-1, StatusBranchGrade[T2], 0)), "") &amp; ""</f>
        <v/>
      </c>
      <c r="W236" s="63"/>
    </row>
    <row r="237" spans="1:23" x14ac:dyDescent="0.25">
      <c r="A237">
        <v>5</v>
      </c>
      <c r="B237" t="s">
        <v>216</v>
      </c>
      <c r="C237" t="s">
        <v>184</v>
      </c>
      <c r="D237" t="s">
        <v>102</v>
      </c>
      <c r="E237" t="str">
        <f>IF(StatusBranchGrade[[#This Row],[Status]] = "CYS", "DoD", StatusBranchGrade[[#This Row],[Rank]] &amp; "")</f>
        <v>E-4</v>
      </c>
      <c r="F237" t="s">
        <v>102</v>
      </c>
      <c r="G237" t="str">
        <f>IF(StatusBranchGrade[[#This Row],[Rank]] = StatusBranchGrade[[#This Row],[Grade]], StatusBranchGrade[[#This Row],[Rank]], StatusBranchGrade[[#This Row],[Grade]] &amp; "/" &amp; StatusBranchGrade[[#This Row],[Rank]]) &amp; ""</f>
        <v>E-4</v>
      </c>
      <c r="H2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E-4</v>
      </c>
      <c r="I237" s="17" t="str">
        <f>SUBSTITUTE(SUBSTITUTE(SUBSTITUTE(StatusBranchGrade[[#This Row],[Status]] &amp; "  /  " &amp; StatusBranchGrade[[#This Row],[Branch]] &amp; ";", "  /  ;", ";"), "  /  ;", ";"), ";", "")</f>
        <v>Active Duty  /  Coast Guard</v>
      </c>
      <c r="J237">
        <v>12</v>
      </c>
      <c r="K237" s="17" t="str">
        <f>IF(LEFT(StatusBranchGrade[[#This Row],[Which]], 1) = "1", StatusBranchGrade[[#This Row],[Key]], "")</f>
        <v>Active Duty  /  Coast Guard  /  E-4</v>
      </c>
      <c r="L237" s="17" t="str">
        <f>IF(LEFT(StatusBranchGrade[[#This Row],[Which]], 1) = "1", StatusBranchGrade[[#This Row],[Key0]], "")</f>
        <v>Active Duty  /  Coast Guard</v>
      </c>
      <c r="M237" s="17" t="str">
        <f>IF(RIGHT(StatusBranchGrade[[#This Row],[Which]], 1) = "2", StatusBranchGrade[[#This Row],[Key]], "")</f>
        <v>Active Duty  /  Coast Guard  /  E-4</v>
      </c>
      <c r="N237" s="17" t="str">
        <f>IF(RIGHT(StatusBranchGrade[[#This Row],[Which]], 1) = "2", StatusBranchGrade[[#This Row],[Key0]], "")</f>
        <v>Active Duty  /  Coast Guard</v>
      </c>
      <c r="O237" s="17" t="s">
        <v>296</v>
      </c>
      <c r="P237" s="17"/>
      <c r="Q237" s="63">
        <f>--ISNUMBER(IF(StatusBranchGrade[[#This Row],[Sponsor0]] = 'Calculation Worksheet'!$AV$6 &amp; "  /  " &amp; 'Calculation Worksheet'!$AV$7, 1, ""))</f>
        <v>0</v>
      </c>
      <c r="R237" s="63" t="str">
        <f>IF(StatusBranchGrade[[#This Row],[S1]] = 1, COUNTIF($Q$3:Q237, 1), "")</f>
        <v/>
      </c>
      <c r="S237" s="63" t="str">
        <f>IFERROR(INDEX(StatusBranchGrade[Rank/Grade], MATCH(ROWS($R$3:R237)-1, StatusBranchGrade[S2], 0)), "") &amp; ""</f>
        <v/>
      </c>
      <c r="T237" s="63">
        <f>--ISNUMBER(IF(StatusBranchGrade[[#This Row],[Spouse0]] = 'Calculation Worksheet'!$CG$6 &amp; "  /  " &amp; 'Calculation Worksheet'!$CG$7, 1, ""))</f>
        <v>0</v>
      </c>
      <c r="U237" s="63" t="str">
        <f>IF(StatusBranchGrade[[#This Row],[T1]] = 1, COUNTIF($T$3:T237, 1), "")</f>
        <v/>
      </c>
      <c r="V237" s="63" t="str">
        <f>IFERROR(INDEX(StatusBranchGrade[Rank/Grade], MATCH(ROWS($U$3:U237)-1, StatusBranchGrade[T2], 0)), "") &amp; ""</f>
        <v/>
      </c>
      <c r="W237" s="63"/>
    </row>
    <row r="238" spans="1:23" x14ac:dyDescent="0.25">
      <c r="A238">
        <v>5</v>
      </c>
      <c r="B238" t="s">
        <v>216</v>
      </c>
      <c r="C238" t="s">
        <v>184</v>
      </c>
      <c r="D238" t="s">
        <v>101</v>
      </c>
      <c r="E238" t="str">
        <f>IF(StatusBranchGrade[[#This Row],[Status]] = "CYS", "DoD", StatusBranchGrade[[#This Row],[Rank]] &amp; "")</f>
        <v>E-5</v>
      </c>
      <c r="F238" t="s">
        <v>101</v>
      </c>
      <c r="G238" t="str">
        <f>IF(StatusBranchGrade[[#This Row],[Rank]] = StatusBranchGrade[[#This Row],[Grade]], StatusBranchGrade[[#This Row],[Rank]], StatusBranchGrade[[#This Row],[Grade]] &amp; "/" &amp; StatusBranchGrade[[#This Row],[Rank]]) &amp; ""</f>
        <v>E-5</v>
      </c>
      <c r="H2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E-5</v>
      </c>
      <c r="I238" s="17" t="str">
        <f>SUBSTITUTE(SUBSTITUTE(SUBSTITUTE(StatusBranchGrade[[#This Row],[Status]] &amp; "  /  " &amp; StatusBranchGrade[[#This Row],[Branch]] &amp; ";", "  /  ;", ";"), "  /  ;", ";"), ";", "")</f>
        <v>Active Duty  /  Coast Guard</v>
      </c>
      <c r="J238">
        <v>12</v>
      </c>
      <c r="K238" s="17" t="str">
        <f>IF(LEFT(StatusBranchGrade[[#This Row],[Which]], 1) = "1", StatusBranchGrade[[#This Row],[Key]], "")</f>
        <v>Active Duty  /  Coast Guard  /  E-5</v>
      </c>
      <c r="L238" s="17" t="str">
        <f>IF(LEFT(StatusBranchGrade[[#This Row],[Which]], 1) = "1", StatusBranchGrade[[#This Row],[Key0]], "")</f>
        <v>Active Duty  /  Coast Guard</v>
      </c>
      <c r="M238" s="17" t="str">
        <f>IF(RIGHT(StatusBranchGrade[[#This Row],[Which]], 1) = "2", StatusBranchGrade[[#This Row],[Key]], "")</f>
        <v>Active Duty  /  Coast Guard  /  E-5</v>
      </c>
      <c r="N238" s="17" t="str">
        <f>IF(RIGHT(StatusBranchGrade[[#This Row],[Which]], 1) = "2", StatusBranchGrade[[#This Row],[Key0]], "")</f>
        <v>Active Duty  /  Coast Guard</v>
      </c>
      <c r="O238" s="17" t="s">
        <v>296</v>
      </c>
      <c r="P238" s="17"/>
      <c r="Q238" s="63">
        <f>--ISNUMBER(IF(StatusBranchGrade[[#This Row],[Sponsor0]] = 'Calculation Worksheet'!$AV$6 &amp; "  /  " &amp; 'Calculation Worksheet'!$AV$7, 1, ""))</f>
        <v>0</v>
      </c>
      <c r="R238" s="63" t="str">
        <f>IF(StatusBranchGrade[[#This Row],[S1]] = 1, COUNTIF($Q$3:Q238, 1), "")</f>
        <v/>
      </c>
      <c r="S238" s="63" t="str">
        <f>IFERROR(INDEX(StatusBranchGrade[Rank/Grade], MATCH(ROWS($R$3:R238)-1, StatusBranchGrade[S2], 0)), "") &amp; ""</f>
        <v/>
      </c>
      <c r="T238" s="63">
        <f>--ISNUMBER(IF(StatusBranchGrade[[#This Row],[Spouse0]] = 'Calculation Worksheet'!$CG$6 &amp; "  /  " &amp; 'Calculation Worksheet'!$CG$7, 1, ""))</f>
        <v>0</v>
      </c>
      <c r="U238" s="63" t="str">
        <f>IF(StatusBranchGrade[[#This Row],[T1]] = 1, COUNTIF($T$3:T238, 1), "")</f>
        <v/>
      </c>
      <c r="V238" s="63" t="str">
        <f>IFERROR(INDEX(StatusBranchGrade[Rank/Grade], MATCH(ROWS($U$3:U238)-1, StatusBranchGrade[T2], 0)), "") &amp; ""</f>
        <v/>
      </c>
      <c r="W238" s="63"/>
    </row>
    <row r="239" spans="1:23" x14ac:dyDescent="0.25">
      <c r="A239">
        <v>5</v>
      </c>
      <c r="B239" t="s">
        <v>216</v>
      </c>
      <c r="C239" t="s">
        <v>184</v>
      </c>
      <c r="D239" t="s">
        <v>100</v>
      </c>
      <c r="E239" t="str">
        <f>IF(StatusBranchGrade[[#This Row],[Status]] = "CYS", "DoD", StatusBranchGrade[[#This Row],[Rank]] &amp; "")</f>
        <v>E-6</v>
      </c>
      <c r="F239" t="s">
        <v>100</v>
      </c>
      <c r="G239" t="str">
        <f>IF(StatusBranchGrade[[#This Row],[Rank]] = StatusBranchGrade[[#This Row],[Grade]], StatusBranchGrade[[#This Row],[Rank]], StatusBranchGrade[[#This Row],[Grade]] &amp; "/" &amp; StatusBranchGrade[[#This Row],[Rank]]) &amp; ""</f>
        <v>E-6</v>
      </c>
      <c r="H2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E-6</v>
      </c>
      <c r="I239" s="17" t="str">
        <f>SUBSTITUTE(SUBSTITUTE(SUBSTITUTE(StatusBranchGrade[[#This Row],[Status]] &amp; "  /  " &amp; StatusBranchGrade[[#This Row],[Branch]] &amp; ";", "  /  ;", ";"), "  /  ;", ";"), ";", "")</f>
        <v>Active Duty  /  Coast Guard</v>
      </c>
      <c r="J239">
        <v>12</v>
      </c>
      <c r="K239" s="17" t="str">
        <f>IF(LEFT(StatusBranchGrade[[#This Row],[Which]], 1) = "1", StatusBranchGrade[[#This Row],[Key]], "")</f>
        <v>Active Duty  /  Coast Guard  /  E-6</v>
      </c>
      <c r="L239" s="17" t="str">
        <f>IF(LEFT(StatusBranchGrade[[#This Row],[Which]], 1) = "1", StatusBranchGrade[[#This Row],[Key0]], "")</f>
        <v>Active Duty  /  Coast Guard</v>
      </c>
      <c r="M239" s="17" t="str">
        <f>IF(RIGHT(StatusBranchGrade[[#This Row],[Which]], 1) = "2", StatusBranchGrade[[#This Row],[Key]], "")</f>
        <v>Active Duty  /  Coast Guard  /  E-6</v>
      </c>
      <c r="N239" s="17" t="str">
        <f>IF(RIGHT(StatusBranchGrade[[#This Row],[Which]], 1) = "2", StatusBranchGrade[[#This Row],[Key0]], "")</f>
        <v>Active Duty  /  Coast Guard</v>
      </c>
      <c r="O239" s="17" t="s">
        <v>296</v>
      </c>
      <c r="P239" s="17"/>
      <c r="Q239" s="63">
        <f>--ISNUMBER(IF(StatusBranchGrade[[#This Row],[Sponsor0]] = 'Calculation Worksheet'!$AV$6 &amp; "  /  " &amp; 'Calculation Worksheet'!$AV$7, 1, ""))</f>
        <v>0</v>
      </c>
      <c r="R239" s="63" t="str">
        <f>IF(StatusBranchGrade[[#This Row],[S1]] = 1, COUNTIF($Q$3:Q239, 1), "")</f>
        <v/>
      </c>
      <c r="S239" s="63" t="str">
        <f>IFERROR(INDEX(StatusBranchGrade[Rank/Grade], MATCH(ROWS($R$3:R239)-1, StatusBranchGrade[S2], 0)), "") &amp; ""</f>
        <v/>
      </c>
      <c r="T239" s="63">
        <f>--ISNUMBER(IF(StatusBranchGrade[[#This Row],[Spouse0]] = 'Calculation Worksheet'!$CG$6 &amp; "  /  " &amp; 'Calculation Worksheet'!$CG$7, 1, ""))</f>
        <v>0</v>
      </c>
      <c r="U239" s="63" t="str">
        <f>IF(StatusBranchGrade[[#This Row],[T1]] = 1, COUNTIF($T$3:T239, 1), "")</f>
        <v/>
      </c>
      <c r="V239" s="63" t="str">
        <f>IFERROR(INDEX(StatusBranchGrade[Rank/Grade], MATCH(ROWS($U$3:U239)-1, StatusBranchGrade[T2], 0)), "") &amp; ""</f>
        <v/>
      </c>
      <c r="W239" s="63"/>
    </row>
    <row r="240" spans="1:23" x14ac:dyDescent="0.25">
      <c r="A240">
        <v>5</v>
      </c>
      <c r="B240" t="s">
        <v>216</v>
      </c>
      <c r="C240" t="s">
        <v>184</v>
      </c>
      <c r="D240" t="s">
        <v>99</v>
      </c>
      <c r="E240" t="str">
        <f>IF(StatusBranchGrade[[#This Row],[Status]] = "CYS", "DoD", StatusBranchGrade[[#This Row],[Rank]] &amp; "")</f>
        <v>E-7</v>
      </c>
      <c r="F240" t="s">
        <v>99</v>
      </c>
      <c r="G240" t="str">
        <f>IF(StatusBranchGrade[[#This Row],[Rank]] = StatusBranchGrade[[#This Row],[Grade]], StatusBranchGrade[[#This Row],[Rank]], StatusBranchGrade[[#This Row],[Grade]] &amp; "/" &amp; StatusBranchGrade[[#This Row],[Rank]]) &amp; ""</f>
        <v>E-7</v>
      </c>
      <c r="H2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E-7</v>
      </c>
      <c r="I240" s="17" t="str">
        <f>SUBSTITUTE(SUBSTITUTE(SUBSTITUTE(StatusBranchGrade[[#This Row],[Status]] &amp; "  /  " &amp; StatusBranchGrade[[#This Row],[Branch]] &amp; ";", "  /  ;", ";"), "  /  ;", ";"), ";", "")</f>
        <v>Active Duty  /  Coast Guard</v>
      </c>
      <c r="J240">
        <v>12</v>
      </c>
      <c r="K240" s="17" t="str">
        <f>IF(LEFT(StatusBranchGrade[[#This Row],[Which]], 1) = "1", StatusBranchGrade[[#This Row],[Key]], "")</f>
        <v>Active Duty  /  Coast Guard  /  E-7</v>
      </c>
      <c r="L240" s="17" t="str">
        <f>IF(LEFT(StatusBranchGrade[[#This Row],[Which]], 1) = "1", StatusBranchGrade[[#This Row],[Key0]], "")</f>
        <v>Active Duty  /  Coast Guard</v>
      </c>
      <c r="M240" s="17" t="str">
        <f>IF(RIGHT(StatusBranchGrade[[#This Row],[Which]], 1) = "2", StatusBranchGrade[[#This Row],[Key]], "")</f>
        <v>Active Duty  /  Coast Guard  /  E-7</v>
      </c>
      <c r="N240" s="17" t="str">
        <f>IF(RIGHT(StatusBranchGrade[[#This Row],[Which]], 1) = "2", StatusBranchGrade[[#This Row],[Key0]], "")</f>
        <v>Active Duty  /  Coast Guard</v>
      </c>
      <c r="O240" s="17" t="s">
        <v>296</v>
      </c>
      <c r="P240" s="17"/>
      <c r="Q240" s="63">
        <f>--ISNUMBER(IF(StatusBranchGrade[[#This Row],[Sponsor0]] = 'Calculation Worksheet'!$AV$6 &amp; "  /  " &amp; 'Calculation Worksheet'!$AV$7, 1, ""))</f>
        <v>0</v>
      </c>
      <c r="R240" s="63" t="str">
        <f>IF(StatusBranchGrade[[#This Row],[S1]] = 1, COUNTIF($Q$3:Q240, 1), "")</f>
        <v/>
      </c>
      <c r="S240" s="63" t="str">
        <f>IFERROR(INDEX(StatusBranchGrade[Rank/Grade], MATCH(ROWS($R$3:R240)-1, StatusBranchGrade[S2], 0)), "") &amp; ""</f>
        <v/>
      </c>
      <c r="T240" s="63">
        <f>--ISNUMBER(IF(StatusBranchGrade[[#This Row],[Spouse0]] = 'Calculation Worksheet'!$CG$6 &amp; "  /  " &amp; 'Calculation Worksheet'!$CG$7, 1, ""))</f>
        <v>0</v>
      </c>
      <c r="U240" s="63" t="str">
        <f>IF(StatusBranchGrade[[#This Row],[T1]] = 1, COUNTIF($T$3:T240, 1), "")</f>
        <v/>
      </c>
      <c r="V240" s="63" t="str">
        <f>IFERROR(INDEX(StatusBranchGrade[Rank/Grade], MATCH(ROWS($U$3:U240)-1, StatusBranchGrade[T2], 0)), "") &amp; ""</f>
        <v/>
      </c>
      <c r="W240" s="63"/>
    </row>
    <row r="241" spans="1:23" x14ac:dyDescent="0.25">
      <c r="A241">
        <v>5</v>
      </c>
      <c r="B241" t="s">
        <v>216</v>
      </c>
      <c r="C241" t="s">
        <v>184</v>
      </c>
      <c r="D241" t="s">
        <v>98</v>
      </c>
      <c r="E241" t="str">
        <f>IF(StatusBranchGrade[[#This Row],[Status]] = "CYS", "DoD", StatusBranchGrade[[#This Row],[Rank]] &amp; "")</f>
        <v>E-8</v>
      </c>
      <c r="F241" t="s">
        <v>98</v>
      </c>
      <c r="G241" t="str">
        <f>IF(StatusBranchGrade[[#This Row],[Rank]] = StatusBranchGrade[[#This Row],[Grade]], StatusBranchGrade[[#This Row],[Rank]], StatusBranchGrade[[#This Row],[Grade]] &amp; "/" &amp; StatusBranchGrade[[#This Row],[Rank]]) &amp; ""</f>
        <v>E-8</v>
      </c>
      <c r="H2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E-8</v>
      </c>
      <c r="I241" s="17" t="str">
        <f>SUBSTITUTE(SUBSTITUTE(SUBSTITUTE(StatusBranchGrade[[#This Row],[Status]] &amp; "  /  " &amp; StatusBranchGrade[[#This Row],[Branch]] &amp; ";", "  /  ;", ";"), "  /  ;", ";"), ";", "")</f>
        <v>Active Duty  /  Coast Guard</v>
      </c>
      <c r="J241">
        <v>12</v>
      </c>
      <c r="K241" s="17" t="str">
        <f>IF(LEFT(StatusBranchGrade[[#This Row],[Which]], 1) = "1", StatusBranchGrade[[#This Row],[Key]], "")</f>
        <v>Active Duty  /  Coast Guard  /  E-8</v>
      </c>
      <c r="L241" s="17" t="str">
        <f>IF(LEFT(StatusBranchGrade[[#This Row],[Which]], 1) = "1", StatusBranchGrade[[#This Row],[Key0]], "")</f>
        <v>Active Duty  /  Coast Guard</v>
      </c>
      <c r="M241" s="17" t="str">
        <f>IF(RIGHT(StatusBranchGrade[[#This Row],[Which]], 1) = "2", StatusBranchGrade[[#This Row],[Key]], "")</f>
        <v>Active Duty  /  Coast Guard  /  E-8</v>
      </c>
      <c r="N241" s="17" t="str">
        <f>IF(RIGHT(StatusBranchGrade[[#This Row],[Which]], 1) = "2", StatusBranchGrade[[#This Row],[Key0]], "")</f>
        <v>Active Duty  /  Coast Guard</v>
      </c>
      <c r="O241" s="17" t="s">
        <v>296</v>
      </c>
      <c r="P241" s="17"/>
      <c r="Q241" s="63">
        <f>--ISNUMBER(IF(StatusBranchGrade[[#This Row],[Sponsor0]] = 'Calculation Worksheet'!$AV$6 &amp; "  /  " &amp; 'Calculation Worksheet'!$AV$7, 1, ""))</f>
        <v>0</v>
      </c>
      <c r="R241" s="63" t="str">
        <f>IF(StatusBranchGrade[[#This Row],[S1]] = 1, COUNTIF($Q$3:Q241, 1), "")</f>
        <v/>
      </c>
      <c r="S241" s="63" t="str">
        <f>IFERROR(INDEX(StatusBranchGrade[Rank/Grade], MATCH(ROWS($R$3:R241)-1, StatusBranchGrade[S2], 0)), "") &amp; ""</f>
        <v/>
      </c>
      <c r="T241" s="63">
        <f>--ISNUMBER(IF(StatusBranchGrade[[#This Row],[Spouse0]] = 'Calculation Worksheet'!$CG$6 &amp; "  /  " &amp; 'Calculation Worksheet'!$CG$7, 1, ""))</f>
        <v>0</v>
      </c>
      <c r="U241" s="63" t="str">
        <f>IF(StatusBranchGrade[[#This Row],[T1]] = 1, COUNTIF($T$3:T241, 1), "")</f>
        <v/>
      </c>
      <c r="V241" s="63" t="str">
        <f>IFERROR(INDEX(StatusBranchGrade[Rank/Grade], MATCH(ROWS($U$3:U241)-1, StatusBranchGrade[T2], 0)), "") &amp; ""</f>
        <v/>
      </c>
      <c r="W241" s="63"/>
    </row>
    <row r="242" spans="1:23" x14ac:dyDescent="0.25">
      <c r="A242">
        <v>5</v>
      </c>
      <c r="B242" t="s">
        <v>216</v>
      </c>
      <c r="C242" t="s">
        <v>184</v>
      </c>
      <c r="D242" t="s">
        <v>97</v>
      </c>
      <c r="E242" t="str">
        <f>IF(StatusBranchGrade[[#This Row],[Status]] = "CYS", "DoD", StatusBranchGrade[[#This Row],[Rank]] &amp; "")</f>
        <v>E-9</v>
      </c>
      <c r="F242" t="s">
        <v>97</v>
      </c>
      <c r="G242" t="str">
        <f>IF(StatusBranchGrade[[#This Row],[Rank]] = StatusBranchGrade[[#This Row],[Grade]], StatusBranchGrade[[#This Row],[Rank]], StatusBranchGrade[[#This Row],[Grade]] &amp; "/" &amp; StatusBranchGrade[[#This Row],[Rank]]) &amp; ""</f>
        <v>E-9</v>
      </c>
      <c r="H2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E-9</v>
      </c>
      <c r="I242" s="17" t="str">
        <f>SUBSTITUTE(SUBSTITUTE(SUBSTITUTE(StatusBranchGrade[[#This Row],[Status]] &amp; "  /  " &amp; StatusBranchGrade[[#This Row],[Branch]] &amp; ";", "  /  ;", ";"), "  /  ;", ";"), ";", "")</f>
        <v>Active Duty  /  Coast Guard</v>
      </c>
      <c r="J242">
        <v>12</v>
      </c>
      <c r="K242" s="17" t="str">
        <f>IF(LEFT(StatusBranchGrade[[#This Row],[Which]], 1) = "1", StatusBranchGrade[[#This Row],[Key]], "")</f>
        <v>Active Duty  /  Coast Guard  /  E-9</v>
      </c>
      <c r="L242" s="17" t="str">
        <f>IF(LEFT(StatusBranchGrade[[#This Row],[Which]], 1) = "1", StatusBranchGrade[[#This Row],[Key0]], "")</f>
        <v>Active Duty  /  Coast Guard</v>
      </c>
      <c r="M242" s="17" t="str">
        <f>IF(RIGHT(StatusBranchGrade[[#This Row],[Which]], 1) = "2", StatusBranchGrade[[#This Row],[Key]], "")</f>
        <v>Active Duty  /  Coast Guard  /  E-9</v>
      </c>
      <c r="N242" s="17" t="str">
        <f>IF(RIGHT(StatusBranchGrade[[#This Row],[Which]], 1) = "2", StatusBranchGrade[[#This Row],[Key0]], "")</f>
        <v>Active Duty  /  Coast Guard</v>
      </c>
      <c r="O242" s="17" t="s">
        <v>296</v>
      </c>
      <c r="P242" s="17"/>
      <c r="Q242" s="63">
        <f>--ISNUMBER(IF(StatusBranchGrade[[#This Row],[Sponsor0]] = 'Calculation Worksheet'!$AV$6 &amp; "  /  " &amp; 'Calculation Worksheet'!$AV$7, 1, ""))</f>
        <v>0</v>
      </c>
      <c r="R242" s="63" t="str">
        <f>IF(StatusBranchGrade[[#This Row],[S1]] = 1, COUNTIF($Q$3:Q242, 1), "")</f>
        <v/>
      </c>
      <c r="S242" s="63" t="str">
        <f>IFERROR(INDEX(StatusBranchGrade[Rank/Grade], MATCH(ROWS($R$3:R242)-1, StatusBranchGrade[S2], 0)), "") &amp; ""</f>
        <v/>
      </c>
      <c r="T242" s="63">
        <f>--ISNUMBER(IF(StatusBranchGrade[[#This Row],[Spouse0]] = 'Calculation Worksheet'!$CG$6 &amp; "  /  " &amp; 'Calculation Worksheet'!$CG$7, 1, ""))</f>
        <v>0</v>
      </c>
      <c r="U242" s="63" t="str">
        <f>IF(StatusBranchGrade[[#This Row],[T1]] = 1, COUNTIF($T$3:T242, 1), "")</f>
        <v/>
      </c>
      <c r="V242" s="63" t="str">
        <f>IFERROR(INDEX(StatusBranchGrade[Rank/Grade], MATCH(ROWS($U$3:U242)-1, StatusBranchGrade[T2], 0)), "") &amp; ""</f>
        <v/>
      </c>
      <c r="W242" s="63"/>
    </row>
    <row r="243" spans="1:23" x14ac:dyDescent="0.25">
      <c r="A243">
        <v>5</v>
      </c>
      <c r="B243" t="s">
        <v>216</v>
      </c>
      <c r="C243" t="s">
        <v>184</v>
      </c>
      <c r="D243" t="s">
        <v>91</v>
      </c>
      <c r="E243" t="str">
        <f>IF(StatusBranchGrade[[#This Row],[Status]] = "CYS", "DoD", StatusBranchGrade[[#This Row],[Rank]] &amp; "")</f>
        <v>O-1</v>
      </c>
      <c r="F243" t="s">
        <v>91</v>
      </c>
      <c r="G243" t="str">
        <f>IF(StatusBranchGrade[[#This Row],[Rank]] = StatusBranchGrade[[#This Row],[Grade]], StatusBranchGrade[[#This Row],[Rank]], StatusBranchGrade[[#This Row],[Grade]] &amp; "/" &amp; StatusBranchGrade[[#This Row],[Rank]]) &amp; ""</f>
        <v>O-1</v>
      </c>
      <c r="H2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O-1</v>
      </c>
      <c r="I243" s="17" t="str">
        <f>SUBSTITUTE(SUBSTITUTE(SUBSTITUTE(StatusBranchGrade[[#This Row],[Status]] &amp; "  /  " &amp; StatusBranchGrade[[#This Row],[Branch]] &amp; ";", "  /  ;", ";"), "  /  ;", ";"), ";", "")</f>
        <v>Active Duty  /  Coast Guard</v>
      </c>
      <c r="J243">
        <v>12</v>
      </c>
      <c r="K243" s="17" t="str">
        <f>IF(LEFT(StatusBranchGrade[[#This Row],[Which]], 1) = "1", StatusBranchGrade[[#This Row],[Key]], "")</f>
        <v>Active Duty  /  Coast Guard  /  O-1</v>
      </c>
      <c r="L243" s="17" t="str">
        <f>IF(LEFT(StatusBranchGrade[[#This Row],[Which]], 1) = "1", StatusBranchGrade[[#This Row],[Key0]], "")</f>
        <v>Active Duty  /  Coast Guard</v>
      </c>
      <c r="M243" s="17" t="str">
        <f>IF(RIGHT(StatusBranchGrade[[#This Row],[Which]], 1) = "2", StatusBranchGrade[[#This Row],[Key]], "")</f>
        <v>Active Duty  /  Coast Guard  /  O-1</v>
      </c>
      <c r="N243" s="17" t="str">
        <f>IF(RIGHT(StatusBranchGrade[[#This Row],[Which]], 1) = "2", StatusBranchGrade[[#This Row],[Key0]], "")</f>
        <v>Active Duty  /  Coast Guard</v>
      </c>
      <c r="O243" s="17" t="s">
        <v>296</v>
      </c>
      <c r="P243" s="17"/>
      <c r="Q243" s="63">
        <f>--ISNUMBER(IF(StatusBranchGrade[[#This Row],[Sponsor0]] = 'Calculation Worksheet'!$AV$6 &amp; "  /  " &amp; 'Calculation Worksheet'!$AV$7, 1, ""))</f>
        <v>0</v>
      </c>
      <c r="R243" s="63" t="str">
        <f>IF(StatusBranchGrade[[#This Row],[S1]] = 1, COUNTIF($Q$3:Q243, 1), "")</f>
        <v/>
      </c>
      <c r="S243" s="63" t="str">
        <f>IFERROR(INDEX(StatusBranchGrade[Rank/Grade], MATCH(ROWS($R$3:R243)-1, StatusBranchGrade[S2], 0)), "") &amp; ""</f>
        <v/>
      </c>
      <c r="T243" s="63">
        <f>--ISNUMBER(IF(StatusBranchGrade[[#This Row],[Spouse0]] = 'Calculation Worksheet'!$CG$6 &amp; "  /  " &amp; 'Calculation Worksheet'!$CG$7, 1, ""))</f>
        <v>0</v>
      </c>
      <c r="U243" s="63" t="str">
        <f>IF(StatusBranchGrade[[#This Row],[T1]] = 1, COUNTIF($T$3:T243, 1), "")</f>
        <v/>
      </c>
      <c r="V243" s="63" t="str">
        <f>IFERROR(INDEX(StatusBranchGrade[Rank/Grade], MATCH(ROWS($U$3:U243)-1, StatusBranchGrade[T2], 0)), "") &amp; ""</f>
        <v/>
      </c>
      <c r="W243" s="63"/>
    </row>
    <row r="244" spans="1:23" x14ac:dyDescent="0.25">
      <c r="A244">
        <v>5</v>
      </c>
      <c r="B244" t="s">
        <v>216</v>
      </c>
      <c r="C244" t="s">
        <v>184</v>
      </c>
      <c r="D244" s="75" t="s">
        <v>10</v>
      </c>
      <c r="E244" s="75" t="str">
        <f>IF(StatusBranchGrade[[#This Row],[Status]] = "CYS", "DoD", StatusBranchGrade[[#This Row],[Rank]] &amp; "")</f>
        <v>O1E</v>
      </c>
      <c r="F244" s="75" t="s">
        <v>91</v>
      </c>
      <c r="G244" s="75" t="str">
        <f>IF(StatusBranchGrade[[#This Row],[Rank]] = StatusBranchGrade[[#This Row],[Grade]], StatusBranchGrade[[#This Row],[Rank]], StatusBranchGrade[[#This Row],[Grade]] &amp; "/" &amp; StatusBranchGrade[[#This Row],[Rank]]) &amp; ""</f>
        <v>O-1/O1E</v>
      </c>
      <c r="H2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O-1/O1E</v>
      </c>
      <c r="I244" s="17" t="str">
        <f>SUBSTITUTE(SUBSTITUTE(SUBSTITUTE(StatusBranchGrade[[#This Row],[Status]] &amp; "  /  " &amp; StatusBranchGrade[[#This Row],[Branch]] &amp; ";", "  /  ;", ";"), "  /  ;", ";"), ";", "")</f>
        <v>Active Duty  /  Coast Guard</v>
      </c>
      <c r="J244">
        <v>12</v>
      </c>
      <c r="K244" s="17" t="str">
        <f>IF(LEFT(StatusBranchGrade[[#This Row],[Which]], 1) = "1", StatusBranchGrade[[#This Row],[Key]], "")</f>
        <v>Active Duty  /  Coast Guard  /  O-1/O1E</v>
      </c>
      <c r="L244" s="17" t="str">
        <f>IF(LEFT(StatusBranchGrade[[#This Row],[Which]], 1) = "1", StatusBranchGrade[[#This Row],[Key0]], "")</f>
        <v>Active Duty  /  Coast Guard</v>
      </c>
      <c r="M244" s="17" t="str">
        <f>IF(RIGHT(StatusBranchGrade[[#This Row],[Which]], 1) = "2", StatusBranchGrade[[#This Row],[Key]], "")</f>
        <v>Active Duty  /  Coast Guard  /  O-1/O1E</v>
      </c>
      <c r="N244" s="17" t="str">
        <f>IF(RIGHT(StatusBranchGrade[[#This Row],[Which]], 1) = "2", StatusBranchGrade[[#This Row],[Key0]], "")</f>
        <v>Active Duty  /  Coast Guard</v>
      </c>
      <c r="O244" s="17" t="s">
        <v>296</v>
      </c>
      <c r="P244" s="17"/>
      <c r="Q244" s="63">
        <f>--ISNUMBER(IF(StatusBranchGrade[[#This Row],[Sponsor0]] = 'Calculation Worksheet'!$AV$6 &amp; "  /  " &amp; 'Calculation Worksheet'!$AV$7, 1, ""))</f>
        <v>0</v>
      </c>
      <c r="R244" s="63" t="str">
        <f>IF(StatusBranchGrade[[#This Row],[S1]] = 1, COUNTIF($Q$3:Q244, 1), "")</f>
        <v/>
      </c>
      <c r="S244" s="63" t="str">
        <f>IFERROR(INDEX(StatusBranchGrade[Rank/Grade], MATCH(ROWS($R$3:R244)-1, StatusBranchGrade[S2], 0)), "") &amp; ""</f>
        <v/>
      </c>
      <c r="T244" s="63">
        <f>--ISNUMBER(IF(StatusBranchGrade[[#This Row],[Spouse0]] = 'Calculation Worksheet'!$CG$6 &amp; "  /  " &amp; 'Calculation Worksheet'!$CG$7, 1, ""))</f>
        <v>0</v>
      </c>
      <c r="U244" s="63" t="str">
        <f>IF(StatusBranchGrade[[#This Row],[T1]] = 1, COUNTIF($T$3:T244, 1), "")</f>
        <v/>
      </c>
      <c r="V244" s="63" t="str">
        <f>IFERROR(INDEX(StatusBranchGrade[Rank/Grade], MATCH(ROWS($U$3:U244)-1, StatusBranchGrade[T2], 0)), "") &amp; ""</f>
        <v/>
      </c>
      <c r="W244" s="63"/>
    </row>
    <row r="245" spans="1:23" x14ac:dyDescent="0.25">
      <c r="A245">
        <v>5</v>
      </c>
      <c r="B245" t="s">
        <v>216</v>
      </c>
      <c r="C245" t="s">
        <v>184</v>
      </c>
      <c r="D245" t="s">
        <v>82</v>
      </c>
      <c r="E245" t="str">
        <f>IF(StatusBranchGrade[[#This Row],[Status]] = "CYS", "DoD", StatusBranchGrade[[#This Row],[Rank]] &amp; "")</f>
        <v>O-10</v>
      </c>
      <c r="F245" t="s">
        <v>82</v>
      </c>
      <c r="G245" t="str">
        <f>IF(StatusBranchGrade[[#This Row],[Rank]] = StatusBranchGrade[[#This Row],[Grade]], StatusBranchGrade[[#This Row],[Rank]], StatusBranchGrade[[#This Row],[Grade]] &amp; "/" &amp; StatusBranchGrade[[#This Row],[Rank]]) &amp; ""</f>
        <v>O-10</v>
      </c>
      <c r="H2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O-10</v>
      </c>
      <c r="I245" s="17" t="str">
        <f>SUBSTITUTE(SUBSTITUTE(SUBSTITUTE(StatusBranchGrade[[#This Row],[Status]] &amp; "  /  " &amp; StatusBranchGrade[[#This Row],[Branch]] &amp; ";", "  /  ;", ";"), "  /  ;", ";"), ";", "")</f>
        <v>Active Duty  /  Coast Guard</v>
      </c>
      <c r="J245">
        <v>12</v>
      </c>
      <c r="K245" s="17" t="str">
        <f>IF(LEFT(StatusBranchGrade[[#This Row],[Which]], 1) = "1", StatusBranchGrade[[#This Row],[Key]], "")</f>
        <v>Active Duty  /  Coast Guard  /  O-10</v>
      </c>
      <c r="L245" s="17" t="str">
        <f>IF(LEFT(StatusBranchGrade[[#This Row],[Which]], 1) = "1", StatusBranchGrade[[#This Row],[Key0]], "")</f>
        <v>Active Duty  /  Coast Guard</v>
      </c>
      <c r="M245" s="17" t="str">
        <f>IF(RIGHT(StatusBranchGrade[[#This Row],[Which]], 1) = "2", StatusBranchGrade[[#This Row],[Key]], "")</f>
        <v>Active Duty  /  Coast Guard  /  O-10</v>
      </c>
      <c r="N245" s="17" t="str">
        <f>IF(RIGHT(StatusBranchGrade[[#This Row],[Which]], 1) = "2", StatusBranchGrade[[#This Row],[Key0]], "")</f>
        <v>Active Duty  /  Coast Guard</v>
      </c>
      <c r="O245" s="17" t="s">
        <v>296</v>
      </c>
      <c r="P245" s="17"/>
      <c r="Q245" s="63">
        <f>--ISNUMBER(IF(StatusBranchGrade[[#This Row],[Sponsor0]] = 'Calculation Worksheet'!$AV$6 &amp; "  /  " &amp; 'Calculation Worksheet'!$AV$7, 1, ""))</f>
        <v>0</v>
      </c>
      <c r="R245" s="63" t="str">
        <f>IF(StatusBranchGrade[[#This Row],[S1]] = 1, COUNTIF($Q$3:Q245, 1), "")</f>
        <v/>
      </c>
      <c r="S245" s="63" t="str">
        <f>IFERROR(INDEX(StatusBranchGrade[Rank/Grade], MATCH(ROWS($R$3:R245)-1, StatusBranchGrade[S2], 0)), "") &amp; ""</f>
        <v/>
      </c>
      <c r="T245" s="63">
        <f>--ISNUMBER(IF(StatusBranchGrade[[#This Row],[Spouse0]] = 'Calculation Worksheet'!$CG$6 &amp; "  /  " &amp; 'Calculation Worksheet'!$CG$7, 1, ""))</f>
        <v>0</v>
      </c>
      <c r="U245" s="63" t="str">
        <f>IF(StatusBranchGrade[[#This Row],[T1]] = 1, COUNTIF($T$3:T245, 1), "")</f>
        <v/>
      </c>
      <c r="V245" s="63" t="str">
        <f>IFERROR(INDEX(StatusBranchGrade[Rank/Grade], MATCH(ROWS($U$3:U245)-1, StatusBranchGrade[T2], 0)), "") &amp; ""</f>
        <v/>
      </c>
      <c r="W245" s="63"/>
    </row>
    <row r="246" spans="1:23" x14ac:dyDescent="0.25">
      <c r="A246">
        <v>5</v>
      </c>
      <c r="B246" t="s">
        <v>216</v>
      </c>
      <c r="C246" t="s">
        <v>184</v>
      </c>
      <c r="D246" t="s">
        <v>90</v>
      </c>
      <c r="E246" t="str">
        <f>IF(StatusBranchGrade[[#This Row],[Status]] = "CYS", "DoD", StatusBranchGrade[[#This Row],[Rank]] &amp; "")</f>
        <v>O-2</v>
      </c>
      <c r="F246" t="s">
        <v>90</v>
      </c>
      <c r="G246" t="str">
        <f>IF(StatusBranchGrade[[#This Row],[Rank]] = StatusBranchGrade[[#This Row],[Grade]], StatusBranchGrade[[#This Row],[Rank]], StatusBranchGrade[[#This Row],[Grade]] &amp; "/" &amp; StatusBranchGrade[[#This Row],[Rank]]) &amp; ""</f>
        <v>O-2</v>
      </c>
      <c r="H2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O-2</v>
      </c>
      <c r="I246" s="17" t="str">
        <f>SUBSTITUTE(SUBSTITUTE(SUBSTITUTE(StatusBranchGrade[[#This Row],[Status]] &amp; "  /  " &amp; StatusBranchGrade[[#This Row],[Branch]] &amp; ";", "  /  ;", ";"), "  /  ;", ";"), ";", "")</f>
        <v>Active Duty  /  Coast Guard</v>
      </c>
      <c r="J246">
        <v>12</v>
      </c>
      <c r="K246" s="17" t="str">
        <f>IF(LEFT(StatusBranchGrade[[#This Row],[Which]], 1) = "1", StatusBranchGrade[[#This Row],[Key]], "")</f>
        <v>Active Duty  /  Coast Guard  /  O-2</v>
      </c>
      <c r="L246" s="17" t="str">
        <f>IF(LEFT(StatusBranchGrade[[#This Row],[Which]], 1) = "1", StatusBranchGrade[[#This Row],[Key0]], "")</f>
        <v>Active Duty  /  Coast Guard</v>
      </c>
      <c r="M246" s="17" t="str">
        <f>IF(RIGHT(StatusBranchGrade[[#This Row],[Which]], 1) = "2", StatusBranchGrade[[#This Row],[Key]], "")</f>
        <v>Active Duty  /  Coast Guard  /  O-2</v>
      </c>
      <c r="N246" s="17" t="str">
        <f>IF(RIGHT(StatusBranchGrade[[#This Row],[Which]], 1) = "2", StatusBranchGrade[[#This Row],[Key0]], "")</f>
        <v>Active Duty  /  Coast Guard</v>
      </c>
      <c r="O246" s="17" t="s">
        <v>296</v>
      </c>
      <c r="P246" s="17"/>
      <c r="Q246" s="63">
        <f>--ISNUMBER(IF(StatusBranchGrade[[#This Row],[Sponsor0]] = 'Calculation Worksheet'!$AV$6 &amp; "  /  " &amp; 'Calculation Worksheet'!$AV$7, 1, ""))</f>
        <v>0</v>
      </c>
      <c r="R246" s="63" t="str">
        <f>IF(StatusBranchGrade[[#This Row],[S1]] = 1, COUNTIF($Q$3:Q246, 1), "")</f>
        <v/>
      </c>
      <c r="S246" s="63" t="str">
        <f>IFERROR(INDEX(StatusBranchGrade[Rank/Grade], MATCH(ROWS($R$3:R246)-1, StatusBranchGrade[S2], 0)), "") &amp; ""</f>
        <v/>
      </c>
      <c r="T246" s="63">
        <f>--ISNUMBER(IF(StatusBranchGrade[[#This Row],[Spouse0]] = 'Calculation Worksheet'!$CG$6 &amp; "  /  " &amp; 'Calculation Worksheet'!$CG$7, 1, ""))</f>
        <v>0</v>
      </c>
      <c r="U246" s="63" t="str">
        <f>IF(StatusBranchGrade[[#This Row],[T1]] = 1, COUNTIF($T$3:T246, 1), "")</f>
        <v/>
      </c>
      <c r="V246" s="63" t="str">
        <f>IFERROR(INDEX(StatusBranchGrade[Rank/Grade], MATCH(ROWS($U$3:U246)-1, StatusBranchGrade[T2], 0)), "") &amp; ""</f>
        <v/>
      </c>
      <c r="W246" s="63"/>
    </row>
    <row r="247" spans="1:23" x14ac:dyDescent="0.25">
      <c r="A247">
        <v>5</v>
      </c>
      <c r="B247" t="s">
        <v>216</v>
      </c>
      <c r="C247" t="s">
        <v>184</v>
      </c>
      <c r="D247" s="75" t="s">
        <v>11</v>
      </c>
      <c r="E247" s="75" t="str">
        <f>IF(StatusBranchGrade[[#This Row],[Status]] = "CYS", "DoD", StatusBranchGrade[[#This Row],[Rank]] &amp; "")</f>
        <v>O2E</v>
      </c>
      <c r="F247" s="75" t="s">
        <v>90</v>
      </c>
      <c r="G247" s="75" t="str">
        <f>IF(StatusBranchGrade[[#This Row],[Rank]] = StatusBranchGrade[[#This Row],[Grade]], StatusBranchGrade[[#This Row],[Rank]], StatusBranchGrade[[#This Row],[Grade]] &amp; "/" &amp; StatusBranchGrade[[#This Row],[Rank]]) &amp; ""</f>
        <v>O-2/O2E</v>
      </c>
      <c r="H2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O-2/O2E</v>
      </c>
      <c r="I247" s="17" t="str">
        <f>SUBSTITUTE(SUBSTITUTE(SUBSTITUTE(StatusBranchGrade[[#This Row],[Status]] &amp; "  /  " &amp; StatusBranchGrade[[#This Row],[Branch]] &amp; ";", "  /  ;", ";"), "  /  ;", ";"), ";", "")</f>
        <v>Active Duty  /  Coast Guard</v>
      </c>
      <c r="J247">
        <v>12</v>
      </c>
      <c r="K247" s="17" t="str">
        <f>IF(LEFT(StatusBranchGrade[[#This Row],[Which]], 1) = "1", StatusBranchGrade[[#This Row],[Key]], "")</f>
        <v>Active Duty  /  Coast Guard  /  O-2/O2E</v>
      </c>
      <c r="L247" s="17" t="str">
        <f>IF(LEFT(StatusBranchGrade[[#This Row],[Which]], 1) = "1", StatusBranchGrade[[#This Row],[Key0]], "")</f>
        <v>Active Duty  /  Coast Guard</v>
      </c>
      <c r="M247" s="17" t="str">
        <f>IF(RIGHT(StatusBranchGrade[[#This Row],[Which]], 1) = "2", StatusBranchGrade[[#This Row],[Key]], "")</f>
        <v>Active Duty  /  Coast Guard  /  O-2/O2E</v>
      </c>
      <c r="N247" s="17" t="str">
        <f>IF(RIGHT(StatusBranchGrade[[#This Row],[Which]], 1) = "2", StatusBranchGrade[[#This Row],[Key0]], "")</f>
        <v>Active Duty  /  Coast Guard</v>
      </c>
      <c r="O247" s="17" t="s">
        <v>296</v>
      </c>
      <c r="P247" s="17"/>
      <c r="Q247" s="63">
        <f>--ISNUMBER(IF(StatusBranchGrade[[#This Row],[Sponsor0]] = 'Calculation Worksheet'!$AV$6 &amp; "  /  " &amp; 'Calculation Worksheet'!$AV$7, 1, ""))</f>
        <v>0</v>
      </c>
      <c r="R247" s="63" t="str">
        <f>IF(StatusBranchGrade[[#This Row],[S1]] = 1, COUNTIF($Q$3:Q247, 1), "")</f>
        <v/>
      </c>
      <c r="S247" s="63" t="str">
        <f>IFERROR(INDEX(StatusBranchGrade[Rank/Grade], MATCH(ROWS($R$3:R247)-1, StatusBranchGrade[S2], 0)), "") &amp; ""</f>
        <v/>
      </c>
      <c r="T247" s="63">
        <f>--ISNUMBER(IF(StatusBranchGrade[[#This Row],[Spouse0]] = 'Calculation Worksheet'!$CG$6 &amp; "  /  " &amp; 'Calculation Worksheet'!$CG$7, 1, ""))</f>
        <v>0</v>
      </c>
      <c r="U247" s="63" t="str">
        <f>IF(StatusBranchGrade[[#This Row],[T1]] = 1, COUNTIF($T$3:T247, 1), "")</f>
        <v/>
      </c>
      <c r="V247" s="63" t="str">
        <f>IFERROR(INDEX(StatusBranchGrade[Rank/Grade], MATCH(ROWS($U$3:U247)-1, StatusBranchGrade[T2], 0)), "") &amp; ""</f>
        <v/>
      </c>
      <c r="W247" s="63"/>
    </row>
    <row r="248" spans="1:23" x14ac:dyDescent="0.25">
      <c r="A248">
        <v>5</v>
      </c>
      <c r="B248" t="s">
        <v>216</v>
      </c>
      <c r="C248" t="s">
        <v>184</v>
      </c>
      <c r="D248" t="s">
        <v>89</v>
      </c>
      <c r="E248" t="str">
        <f>IF(StatusBranchGrade[[#This Row],[Status]] = "CYS", "DoD", StatusBranchGrade[[#This Row],[Rank]] &amp; "")</f>
        <v>O-3</v>
      </c>
      <c r="F248" t="s">
        <v>89</v>
      </c>
      <c r="G248" t="str">
        <f>IF(StatusBranchGrade[[#This Row],[Rank]] = StatusBranchGrade[[#This Row],[Grade]], StatusBranchGrade[[#This Row],[Rank]], StatusBranchGrade[[#This Row],[Grade]] &amp; "/" &amp; StatusBranchGrade[[#This Row],[Rank]]) &amp; ""</f>
        <v>O-3</v>
      </c>
      <c r="H2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O-3</v>
      </c>
      <c r="I248" s="17" t="str">
        <f>SUBSTITUTE(SUBSTITUTE(SUBSTITUTE(StatusBranchGrade[[#This Row],[Status]] &amp; "  /  " &amp; StatusBranchGrade[[#This Row],[Branch]] &amp; ";", "  /  ;", ";"), "  /  ;", ";"), ";", "")</f>
        <v>Active Duty  /  Coast Guard</v>
      </c>
      <c r="J248">
        <v>12</v>
      </c>
      <c r="K248" s="17" t="str">
        <f>IF(LEFT(StatusBranchGrade[[#This Row],[Which]], 1) = "1", StatusBranchGrade[[#This Row],[Key]], "")</f>
        <v>Active Duty  /  Coast Guard  /  O-3</v>
      </c>
      <c r="L248" s="17" t="str">
        <f>IF(LEFT(StatusBranchGrade[[#This Row],[Which]], 1) = "1", StatusBranchGrade[[#This Row],[Key0]], "")</f>
        <v>Active Duty  /  Coast Guard</v>
      </c>
      <c r="M248" s="17" t="str">
        <f>IF(RIGHT(StatusBranchGrade[[#This Row],[Which]], 1) = "2", StatusBranchGrade[[#This Row],[Key]], "")</f>
        <v>Active Duty  /  Coast Guard  /  O-3</v>
      </c>
      <c r="N248" s="17" t="str">
        <f>IF(RIGHT(StatusBranchGrade[[#This Row],[Which]], 1) = "2", StatusBranchGrade[[#This Row],[Key0]], "")</f>
        <v>Active Duty  /  Coast Guard</v>
      </c>
      <c r="O248" s="17" t="s">
        <v>296</v>
      </c>
      <c r="P248" s="17"/>
      <c r="Q248" s="63">
        <f>--ISNUMBER(IF(StatusBranchGrade[[#This Row],[Sponsor0]] = 'Calculation Worksheet'!$AV$6 &amp; "  /  " &amp; 'Calculation Worksheet'!$AV$7, 1, ""))</f>
        <v>0</v>
      </c>
      <c r="R248" s="63" t="str">
        <f>IF(StatusBranchGrade[[#This Row],[S1]] = 1, COUNTIF($Q$3:Q248, 1), "")</f>
        <v/>
      </c>
      <c r="S248" s="63" t="str">
        <f>IFERROR(INDEX(StatusBranchGrade[Rank/Grade], MATCH(ROWS($R$3:R248)-1, StatusBranchGrade[S2], 0)), "") &amp; ""</f>
        <v/>
      </c>
      <c r="T248" s="63">
        <f>--ISNUMBER(IF(StatusBranchGrade[[#This Row],[Spouse0]] = 'Calculation Worksheet'!$CG$6 &amp; "  /  " &amp; 'Calculation Worksheet'!$CG$7, 1, ""))</f>
        <v>0</v>
      </c>
      <c r="U248" s="63" t="str">
        <f>IF(StatusBranchGrade[[#This Row],[T1]] = 1, COUNTIF($T$3:T248, 1), "")</f>
        <v/>
      </c>
      <c r="V248" s="63" t="str">
        <f>IFERROR(INDEX(StatusBranchGrade[Rank/Grade], MATCH(ROWS($U$3:U248)-1, StatusBranchGrade[T2], 0)), "") &amp; ""</f>
        <v/>
      </c>
      <c r="W248" s="63"/>
    </row>
    <row r="249" spans="1:23" x14ac:dyDescent="0.25">
      <c r="A249">
        <v>5</v>
      </c>
      <c r="B249" t="s">
        <v>216</v>
      </c>
      <c r="C249" t="s">
        <v>184</v>
      </c>
      <c r="D249" s="75" t="s">
        <v>12</v>
      </c>
      <c r="E249" s="75" t="str">
        <f>IF(StatusBranchGrade[[#This Row],[Status]] = "CYS", "DoD", StatusBranchGrade[[#This Row],[Rank]] &amp; "")</f>
        <v>O3E</v>
      </c>
      <c r="F249" s="75" t="s">
        <v>89</v>
      </c>
      <c r="G249" s="75" t="str">
        <f>IF(StatusBranchGrade[[#This Row],[Rank]] = StatusBranchGrade[[#This Row],[Grade]], StatusBranchGrade[[#This Row],[Rank]], StatusBranchGrade[[#This Row],[Grade]] &amp; "/" &amp; StatusBranchGrade[[#This Row],[Rank]]) &amp; ""</f>
        <v>O-3/O3E</v>
      </c>
      <c r="H2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O-3/O3E</v>
      </c>
      <c r="I249" s="17" t="str">
        <f>SUBSTITUTE(SUBSTITUTE(SUBSTITUTE(StatusBranchGrade[[#This Row],[Status]] &amp; "  /  " &amp; StatusBranchGrade[[#This Row],[Branch]] &amp; ";", "  /  ;", ";"), "  /  ;", ";"), ";", "")</f>
        <v>Active Duty  /  Coast Guard</v>
      </c>
      <c r="J249">
        <v>12</v>
      </c>
      <c r="K249" s="17" t="str">
        <f>IF(LEFT(StatusBranchGrade[[#This Row],[Which]], 1) = "1", StatusBranchGrade[[#This Row],[Key]], "")</f>
        <v>Active Duty  /  Coast Guard  /  O-3/O3E</v>
      </c>
      <c r="L249" s="17" t="str">
        <f>IF(LEFT(StatusBranchGrade[[#This Row],[Which]], 1) = "1", StatusBranchGrade[[#This Row],[Key0]], "")</f>
        <v>Active Duty  /  Coast Guard</v>
      </c>
      <c r="M249" s="17" t="str">
        <f>IF(RIGHT(StatusBranchGrade[[#This Row],[Which]], 1) = "2", StatusBranchGrade[[#This Row],[Key]], "")</f>
        <v>Active Duty  /  Coast Guard  /  O-3/O3E</v>
      </c>
      <c r="N249" s="17" t="str">
        <f>IF(RIGHT(StatusBranchGrade[[#This Row],[Which]], 1) = "2", StatusBranchGrade[[#This Row],[Key0]], "")</f>
        <v>Active Duty  /  Coast Guard</v>
      </c>
      <c r="O249" s="17" t="s">
        <v>296</v>
      </c>
      <c r="P249" s="17"/>
      <c r="Q249" s="63">
        <f>--ISNUMBER(IF(StatusBranchGrade[[#This Row],[Sponsor0]] = 'Calculation Worksheet'!$AV$6 &amp; "  /  " &amp; 'Calculation Worksheet'!$AV$7, 1, ""))</f>
        <v>0</v>
      </c>
      <c r="R249" s="63" t="str">
        <f>IF(StatusBranchGrade[[#This Row],[S1]] = 1, COUNTIF($Q$3:Q249, 1), "")</f>
        <v/>
      </c>
      <c r="S249" s="63" t="str">
        <f>IFERROR(INDEX(StatusBranchGrade[Rank/Grade], MATCH(ROWS($R$3:R249)-1, StatusBranchGrade[S2], 0)), "") &amp; ""</f>
        <v/>
      </c>
      <c r="T249" s="63">
        <f>--ISNUMBER(IF(StatusBranchGrade[[#This Row],[Spouse0]] = 'Calculation Worksheet'!$CG$6 &amp; "  /  " &amp; 'Calculation Worksheet'!$CG$7, 1, ""))</f>
        <v>0</v>
      </c>
      <c r="U249" s="63" t="str">
        <f>IF(StatusBranchGrade[[#This Row],[T1]] = 1, COUNTIF($T$3:T249, 1), "")</f>
        <v/>
      </c>
      <c r="V249" s="63" t="str">
        <f>IFERROR(INDEX(StatusBranchGrade[Rank/Grade], MATCH(ROWS($U$3:U249)-1, StatusBranchGrade[T2], 0)), "") &amp; ""</f>
        <v/>
      </c>
      <c r="W249" s="63"/>
    </row>
    <row r="250" spans="1:23" x14ac:dyDescent="0.25">
      <c r="A250">
        <v>5</v>
      </c>
      <c r="B250" t="s">
        <v>216</v>
      </c>
      <c r="C250" t="s">
        <v>184</v>
      </c>
      <c r="D250" t="s">
        <v>88</v>
      </c>
      <c r="E250" t="str">
        <f>IF(StatusBranchGrade[[#This Row],[Status]] = "CYS", "DoD", StatusBranchGrade[[#This Row],[Rank]] &amp; "")</f>
        <v>O-4</v>
      </c>
      <c r="F250" t="s">
        <v>88</v>
      </c>
      <c r="G250" t="str">
        <f>IF(StatusBranchGrade[[#This Row],[Rank]] = StatusBranchGrade[[#This Row],[Grade]], StatusBranchGrade[[#This Row],[Rank]], StatusBranchGrade[[#This Row],[Grade]] &amp; "/" &amp; StatusBranchGrade[[#This Row],[Rank]]) &amp; ""</f>
        <v>O-4</v>
      </c>
      <c r="H2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O-4</v>
      </c>
      <c r="I250" s="17" t="str">
        <f>SUBSTITUTE(SUBSTITUTE(SUBSTITUTE(StatusBranchGrade[[#This Row],[Status]] &amp; "  /  " &amp; StatusBranchGrade[[#This Row],[Branch]] &amp; ";", "  /  ;", ";"), "  /  ;", ";"), ";", "")</f>
        <v>Active Duty  /  Coast Guard</v>
      </c>
      <c r="J250">
        <v>12</v>
      </c>
      <c r="K250" s="17" t="str">
        <f>IF(LEFT(StatusBranchGrade[[#This Row],[Which]], 1) = "1", StatusBranchGrade[[#This Row],[Key]], "")</f>
        <v>Active Duty  /  Coast Guard  /  O-4</v>
      </c>
      <c r="L250" s="17" t="str">
        <f>IF(LEFT(StatusBranchGrade[[#This Row],[Which]], 1) = "1", StatusBranchGrade[[#This Row],[Key0]], "")</f>
        <v>Active Duty  /  Coast Guard</v>
      </c>
      <c r="M250" s="17" t="str">
        <f>IF(RIGHT(StatusBranchGrade[[#This Row],[Which]], 1) = "2", StatusBranchGrade[[#This Row],[Key]], "")</f>
        <v>Active Duty  /  Coast Guard  /  O-4</v>
      </c>
      <c r="N250" s="17" t="str">
        <f>IF(RIGHT(StatusBranchGrade[[#This Row],[Which]], 1) = "2", StatusBranchGrade[[#This Row],[Key0]], "")</f>
        <v>Active Duty  /  Coast Guard</v>
      </c>
      <c r="O250" s="17" t="s">
        <v>296</v>
      </c>
      <c r="P250" s="17"/>
      <c r="Q250" s="63">
        <f>--ISNUMBER(IF(StatusBranchGrade[[#This Row],[Sponsor0]] = 'Calculation Worksheet'!$AV$6 &amp; "  /  " &amp; 'Calculation Worksheet'!$AV$7, 1, ""))</f>
        <v>0</v>
      </c>
      <c r="R250" s="63" t="str">
        <f>IF(StatusBranchGrade[[#This Row],[S1]] = 1, COUNTIF($Q$3:Q250, 1), "")</f>
        <v/>
      </c>
      <c r="S250" s="63" t="str">
        <f>IFERROR(INDEX(StatusBranchGrade[Rank/Grade], MATCH(ROWS($R$3:R250)-1, StatusBranchGrade[S2], 0)), "") &amp; ""</f>
        <v/>
      </c>
      <c r="T250" s="63">
        <f>--ISNUMBER(IF(StatusBranchGrade[[#This Row],[Spouse0]] = 'Calculation Worksheet'!$CG$6 &amp; "  /  " &amp; 'Calculation Worksheet'!$CG$7, 1, ""))</f>
        <v>0</v>
      </c>
      <c r="U250" s="63" t="str">
        <f>IF(StatusBranchGrade[[#This Row],[T1]] = 1, COUNTIF($T$3:T250, 1), "")</f>
        <v/>
      </c>
      <c r="V250" s="63" t="str">
        <f>IFERROR(INDEX(StatusBranchGrade[Rank/Grade], MATCH(ROWS($U$3:U250)-1, StatusBranchGrade[T2], 0)), "") &amp; ""</f>
        <v/>
      </c>
      <c r="W250" s="63"/>
    </row>
    <row r="251" spans="1:23" x14ac:dyDescent="0.25">
      <c r="A251">
        <v>5</v>
      </c>
      <c r="B251" t="s">
        <v>216</v>
      </c>
      <c r="C251" t="s">
        <v>184</v>
      </c>
      <c r="D251" t="s">
        <v>87</v>
      </c>
      <c r="E251" t="str">
        <f>IF(StatusBranchGrade[[#This Row],[Status]] = "CYS", "DoD", StatusBranchGrade[[#This Row],[Rank]] &amp; "")</f>
        <v>O-5</v>
      </c>
      <c r="F251" t="s">
        <v>87</v>
      </c>
      <c r="G251" t="str">
        <f>IF(StatusBranchGrade[[#This Row],[Rank]] = StatusBranchGrade[[#This Row],[Grade]], StatusBranchGrade[[#This Row],[Rank]], StatusBranchGrade[[#This Row],[Grade]] &amp; "/" &amp; StatusBranchGrade[[#This Row],[Rank]]) &amp; ""</f>
        <v>O-5</v>
      </c>
      <c r="H2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O-5</v>
      </c>
      <c r="I251" s="17" t="str">
        <f>SUBSTITUTE(SUBSTITUTE(SUBSTITUTE(StatusBranchGrade[[#This Row],[Status]] &amp; "  /  " &amp; StatusBranchGrade[[#This Row],[Branch]] &amp; ";", "  /  ;", ";"), "  /  ;", ";"), ";", "")</f>
        <v>Active Duty  /  Coast Guard</v>
      </c>
      <c r="J251">
        <v>12</v>
      </c>
      <c r="K251" s="17" t="str">
        <f>IF(LEFT(StatusBranchGrade[[#This Row],[Which]], 1) = "1", StatusBranchGrade[[#This Row],[Key]], "")</f>
        <v>Active Duty  /  Coast Guard  /  O-5</v>
      </c>
      <c r="L251" s="17" t="str">
        <f>IF(LEFT(StatusBranchGrade[[#This Row],[Which]], 1) = "1", StatusBranchGrade[[#This Row],[Key0]], "")</f>
        <v>Active Duty  /  Coast Guard</v>
      </c>
      <c r="M251" s="17" t="str">
        <f>IF(RIGHT(StatusBranchGrade[[#This Row],[Which]], 1) = "2", StatusBranchGrade[[#This Row],[Key]], "")</f>
        <v>Active Duty  /  Coast Guard  /  O-5</v>
      </c>
      <c r="N251" s="17" t="str">
        <f>IF(RIGHT(StatusBranchGrade[[#This Row],[Which]], 1) = "2", StatusBranchGrade[[#This Row],[Key0]], "")</f>
        <v>Active Duty  /  Coast Guard</v>
      </c>
      <c r="O251" s="17" t="s">
        <v>296</v>
      </c>
      <c r="P251" s="17"/>
      <c r="Q251" s="63">
        <f>--ISNUMBER(IF(StatusBranchGrade[[#This Row],[Sponsor0]] = 'Calculation Worksheet'!$AV$6 &amp; "  /  " &amp; 'Calculation Worksheet'!$AV$7, 1, ""))</f>
        <v>0</v>
      </c>
      <c r="R251" s="63" t="str">
        <f>IF(StatusBranchGrade[[#This Row],[S1]] = 1, COUNTIF($Q$3:Q251, 1), "")</f>
        <v/>
      </c>
      <c r="S251" s="63" t="str">
        <f>IFERROR(INDEX(StatusBranchGrade[Rank/Grade], MATCH(ROWS($R$3:R251)-1, StatusBranchGrade[S2], 0)), "") &amp; ""</f>
        <v/>
      </c>
      <c r="T251" s="63">
        <f>--ISNUMBER(IF(StatusBranchGrade[[#This Row],[Spouse0]] = 'Calculation Worksheet'!$CG$6 &amp; "  /  " &amp; 'Calculation Worksheet'!$CG$7, 1, ""))</f>
        <v>0</v>
      </c>
      <c r="U251" s="63" t="str">
        <f>IF(StatusBranchGrade[[#This Row],[T1]] = 1, COUNTIF($T$3:T251, 1), "")</f>
        <v/>
      </c>
      <c r="V251" s="63" t="str">
        <f>IFERROR(INDEX(StatusBranchGrade[Rank/Grade], MATCH(ROWS($U$3:U251)-1, StatusBranchGrade[T2], 0)), "") &amp; ""</f>
        <v/>
      </c>
      <c r="W251" s="63"/>
    </row>
    <row r="252" spans="1:23" x14ac:dyDescent="0.25">
      <c r="A252">
        <v>5</v>
      </c>
      <c r="B252" t="s">
        <v>216</v>
      </c>
      <c r="C252" t="s">
        <v>184</v>
      </c>
      <c r="D252" t="s">
        <v>86</v>
      </c>
      <c r="E252" t="str">
        <f>IF(StatusBranchGrade[[#This Row],[Status]] = "CYS", "DoD", StatusBranchGrade[[#This Row],[Rank]] &amp; "")</f>
        <v>O-6</v>
      </c>
      <c r="F252" t="s">
        <v>86</v>
      </c>
      <c r="G252" t="str">
        <f>IF(StatusBranchGrade[[#This Row],[Rank]] = StatusBranchGrade[[#This Row],[Grade]], StatusBranchGrade[[#This Row],[Rank]], StatusBranchGrade[[#This Row],[Grade]] &amp; "/" &amp; StatusBranchGrade[[#This Row],[Rank]]) &amp; ""</f>
        <v>O-6</v>
      </c>
      <c r="H2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O-6</v>
      </c>
      <c r="I252" s="17" t="str">
        <f>SUBSTITUTE(SUBSTITUTE(SUBSTITUTE(StatusBranchGrade[[#This Row],[Status]] &amp; "  /  " &amp; StatusBranchGrade[[#This Row],[Branch]] &amp; ";", "  /  ;", ";"), "  /  ;", ";"), ";", "")</f>
        <v>Active Duty  /  Coast Guard</v>
      </c>
      <c r="J252">
        <v>12</v>
      </c>
      <c r="K252" s="17" t="str">
        <f>IF(LEFT(StatusBranchGrade[[#This Row],[Which]], 1) = "1", StatusBranchGrade[[#This Row],[Key]], "")</f>
        <v>Active Duty  /  Coast Guard  /  O-6</v>
      </c>
      <c r="L252" s="17" t="str">
        <f>IF(LEFT(StatusBranchGrade[[#This Row],[Which]], 1) = "1", StatusBranchGrade[[#This Row],[Key0]], "")</f>
        <v>Active Duty  /  Coast Guard</v>
      </c>
      <c r="M252" s="17" t="str">
        <f>IF(RIGHT(StatusBranchGrade[[#This Row],[Which]], 1) = "2", StatusBranchGrade[[#This Row],[Key]], "")</f>
        <v>Active Duty  /  Coast Guard  /  O-6</v>
      </c>
      <c r="N252" s="17" t="str">
        <f>IF(RIGHT(StatusBranchGrade[[#This Row],[Which]], 1) = "2", StatusBranchGrade[[#This Row],[Key0]], "")</f>
        <v>Active Duty  /  Coast Guard</v>
      </c>
      <c r="O252" s="17" t="s">
        <v>296</v>
      </c>
      <c r="P252" s="17"/>
      <c r="Q252" s="63">
        <f>--ISNUMBER(IF(StatusBranchGrade[[#This Row],[Sponsor0]] = 'Calculation Worksheet'!$AV$6 &amp; "  /  " &amp; 'Calculation Worksheet'!$AV$7, 1, ""))</f>
        <v>0</v>
      </c>
      <c r="R252" s="63" t="str">
        <f>IF(StatusBranchGrade[[#This Row],[S1]] = 1, COUNTIF($Q$3:Q252, 1), "")</f>
        <v/>
      </c>
      <c r="S252" s="63" t="str">
        <f>IFERROR(INDEX(StatusBranchGrade[Rank/Grade], MATCH(ROWS($R$3:R252)-1, StatusBranchGrade[S2], 0)), "") &amp; ""</f>
        <v/>
      </c>
      <c r="T252" s="63">
        <f>--ISNUMBER(IF(StatusBranchGrade[[#This Row],[Spouse0]] = 'Calculation Worksheet'!$CG$6 &amp; "  /  " &amp; 'Calculation Worksheet'!$CG$7, 1, ""))</f>
        <v>0</v>
      </c>
      <c r="U252" s="63" t="str">
        <f>IF(StatusBranchGrade[[#This Row],[T1]] = 1, COUNTIF($T$3:T252, 1), "")</f>
        <v/>
      </c>
      <c r="V252" s="63" t="str">
        <f>IFERROR(INDEX(StatusBranchGrade[Rank/Grade], MATCH(ROWS($U$3:U252)-1, StatusBranchGrade[T2], 0)), "") &amp; ""</f>
        <v/>
      </c>
      <c r="W252" s="63"/>
    </row>
    <row r="253" spans="1:23" x14ac:dyDescent="0.25">
      <c r="A253">
        <v>5</v>
      </c>
      <c r="B253" t="s">
        <v>216</v>
      </c>
      <c r="C253" t="s">
        <v>184</v>
      </c>
      <c r="D253" t="s">
        <v>85</v>
      </c>
      <c r="E253" t="str">
        <f>IF(StatusBranchGrade[[#This Row],[Status]] = "CYS", "DoD", StatusBranchGrade[[#This Row],[Rank]] &amp; "")</f>
        <v>O-7</v>
      </c>
      <c r="F253" t="s">
        <v>85</v>
      </c>
      <c r="G253" t="str">
        <f>IF(StatusBranchGrade[[#This Row],[Rank]] = StatusBranchGrade[[#This Row],[Grade]], StatusBranchGrade[[#This Row],[Rank]], StatusBranchGrade[[#This Row],[Grade]] &amp; "/" &amp; StatusBranchGrade[[#This Row],[Rank]]) &amp; ""</f>
        <v>O-7</v>
      </c>
      <c r="H2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O-7</v>
      </c>
      <c r="I253" s="17" t="str">
        <f>SUBSTITUTE(SUBSTITUTE(SUBSTITUTE(StatusBranchGrade[[#This Row],[Status]] &amp; "  /  " &amp; StatusBranchGrade[[#This Row],[Branch]] &amp; ";", "  /  ;", ";"), "  /  ;", ";"), ";", "")</f>
        <v>Active Duty  /  Coast Guard</v>
      </c>
      <c r="J253">
        <v>12</v>
      </c>
      <c r="K253" s="17" t="str">
        <f>IF(LEFT(StatusBranchGrade[[#This Row],[Which]], 1) = "1", StatusBranchGrade[[#This Row],[Key]], "")</f>
        <v>Active Duty  /  Coast Guard  /  O-7</v>
      </c>
      <c r="L253" s="17" t="str">
        <f>IF(LEFT(StatusBranchGrade[[#This Row],[Which]], 1) = "1", StatusBranchGrade[[#This Row],[Key0]], "")</f>
        <v>Active Duty  /  Coast Guard</v>
      </c>
      <c r="M253" s="17" t="str">
        <f>IF(RIGHT(StatusBranchGrade[[#This Row],[Which]], 1) = "2", StatusBranchGrade[[#This Row],[Key]], "")</f>
        <v>Active Duty  /  Coast Guard  /  O-7</v>
      </c>
      <c r="N253" s="17" t="str">
        <f>IF(RIGHT(StatusBranchGrade[[#This Row],[Which]], 1) = "2", StatusBranchGrade[[#This Row],[Key0]], "")</f>
        <v>Active Duty  /  Coast Guard</v>
      </c>
      <c r="O253" s="17" t="s">
        <v>296</v>
      </c>
      <c r="P253" s="17"/>
      <c r="Q253" s="63">
        <f>--ISNUMBER(IF(StatusBranchGrade[[#This Row],[Sponsor0]] = 'Calculation Worksheet'!$AV$6 &amp; "  /  " &amp; 'Calculation Worksheet'!$AV$7, 1, ""))</f>
        <v>0</v>
      </c>
      <c r="R253" s="63" t="str">
        <f>IF(StatusBranchGrade[[#This Row],[S1]] = 1, COUNTIF($Q$3:Q253, 1), "")</f>
        <v/>
      </c>
      <c r="S253" s="63" t="str">
        <f>IFERROR(INDEX(StatusBranchGrade[Rank/Grade], MATCH(ROWS($R$3:R253)-1, StatusBranchGrade[S2], 0)), "") &amp; ""</f>
        <v/>
      </c>
      <c r="T253" s="63">
        <f>--ISNUMBER(IF(StatusBranchGrade[[#This Row],[Spouse0]] = 'Calculation Worksheet'!$CG$6 &amp; "  /  " &amp; 'Calculation Worksheet'!$CG$7, 1, ""))</f>
        <v>0</v>
      </c>
      <c r="U253" s="63" t="str">
        <f>IF(StatusBranchGrade[[#This Row],[T1]] = 1, COUNTIF($T$3:T253, 1), "")</f>
        <v/>
      </c>
      <c r="V253" s="63" t="str">
        <f>IFERROR(INDEX(StatusBranchGrade[Rank/Grade], MATCH(ROWS($U$3:U253)-1, StatusBranchGrade[T2], 0)), "") &amp; ""</f>
        <v/>
      </c>
      <c r="W253" s="63"/>
    </row>
    <row r="254" spans="1:23" x14ac:dyDescent="0.25">
      <c r="A254">
        <v>5</v>
      </c>
      <c r="B254" t="s">
        <v>216</v>
      </c>
      <c r="C254" t="s">
        <v>184</v>
      </c>
      <c r="D254" t="s">
        <v>84</v>
      </c>
      <c r="E254" t="str">
        <f>IF(StatusBranchGrade[[#This Row],[Status]] = "CYS", "DoD", StatusBranchGrade[[#This Row],[Rank]] &amp; "")</f>
        <v>O-8</v>
      </c>
      <c r="F254" t="s">
        <v>84</v>
      </c>
      <c r="G254" t="str">
        <f>IF(StatusBranchGrade[[#This Row],[Rank]] = StatusBranchGrade[[#This Row],[Grade]], StatusBranchGrade[[#This Row],[Rank]], StatusBranchGrade[[#This Row],[Grade]] &amp; "/" &amp; StatusBranchGrade[[#This Row],[Rank]]) &amp; ""</f>
        <v>O-8</v>
      </c>
      <c r="H2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O-8</v>
      </c>
      <c r="I254" s="17" t="str">
        <f>SUBSTITUTE(SUBSTITUTE(SUBSTITUTE(StatusBranchGrade[[#This Row],[Status]] &amp; "  /  " &amp; StatusBranchGrade[[#This Row],[Branch]] &amp; ";", "  /  ;", ";"), "  /  ;", ";"), ";", "")</f>
        <v>Active Duty  /  Coast Guard</v>
      </c>
      <c r="J254">
        <v>12</v>
      </c>
      <c r="K254" s="17" t="str">
        <f>IF(LEFT(StatusBranchGrade[[#This Row],[Which]], 1) = "1", StatusBranchGrade[[#This Row],[Key]], "")</f>
        <v>Active Duty  /  Coast Guard  /  O-8</v>
      </c>
      <c r="L254" s="17" t="str">
        <f>IF(LEFT(StatusBranchGrade[[#This Row],[Which]], 1) = "1", StatusBranchGrade[[#This Row],[Key0]], "")</f>
        <v>Active Duty  /  Coast Guard</v>
      </c>
      <c r="M254" s="17" t="str">
        <f>IF(RIGHT(StatusBranchGrade[[#This Row],[Which]], 1) = "2", StatusBranchGrade[[#This Row],[Key]], "")</f>
        <v>Active Duty  /  Coast Guard  /  O-8</v>
      </c>
      <c r="N254" s="17" t="str">
        <f>IF(RIGHT(StatusBranchGrade[[#This Row],[Which]], 1) = "2", StatusBranchGrade[[#This Row],[Key0]], "")</f>
        <v>Active Duty  /  Coast Guard</v>
      </c>
      <c r="O254" s="17" t="s">
        <v>296</v>
      </c>
      <c r="P254" s="17"/>
      <c r="Q254" s="63">
        <f>--ISNUMBER(IF(StatusBranchGrade[[#This Row],[Sponsor0]] = 'Calculation Worksheet'!$AV$6 &amp; "  /  " &amp; 'Calculation Worksheet'!$AV$7, 1, ""))</f>
        <v>0</v>
      </c>
      <c r="R254" s="63" t="str">
        <f>IF(StatusBranchGrade[[#This Row],[S1]] = 1, COUNTIF($Q$3:Q254, 1), "")</f>
        <v/>
      </c>
      <c r="S254" s="63" t="str">
        <f>IFERROR(INDEX(StatusBranchGrade[Rank/Grade], MATCH(ROWS($R$3:R254)-1, StatusBranchGrade[S2], 0)), "") &amp; ""</f>
        <v/>
      </c>
      <c r="T254" s="63">
        <f>--ISNUMBER(IF(StatusBranchGrade[[#This Row],[Spouse0]] = 'Calculation Worksheet'!$CG$6 &amp; "  /  " &amp; 'Calculation Worksheet'!$CG$7, 1, ""))</f>
        <v>0</v>
      </c>
      <c r="U254" s="63" t="str">
        <f>IF(StatusBranchGrade[[#This Row],[T1]] = 1, COUNTIF($T$3:T254, 1), "")</f>
        <v/>
      </c>
      <c r="V254" s="63" t="str">
        <f>IFERROR(INDEX(StatusBranchGrade[Rank/Grade], MATCH(ROWS($U$3:U254)-1, StatusBranchGrade[T2], 0)), "") &amp; ""</f>
        <v/>
      </c>
      <c r="W254" s="63"/>
    </row>
    <row r="255" spans="1:23" x14ac:dyDescent="0.25">
      <c r="A255">
        <v>5</v>
      </c>
      <c r="B255" t="s">
        <v>216</v>
      </c>
      <c r="C255" t="s">
        <v>184</v>
      </c>
      <c r="D255" t="s">
        <v>83</v>
      </c>
      <c r="E255" t="str">
        <f>IF(StatusBranchGrade[[#This Row],[Status]] = "CYS", "DoD", StatusBranchGrade[[#This Row],[Rank]] &amp; "")</f>
        <v>O-9</v>
      </c>
      <c r="F255" t="s">
        <v>83</v>
      </c>
      <c r="G255" t="str">
        <f>IF(StatusBranchGrade[[#This Row],[Rank]] = StatusBranchGrade[[#This Row],[Grade]], StatusBranchGrade[[#This Row],[Rank]], StatusBranchGrade[[#This Row],[Grade]] &amp; "/" &amp; StatusBranchGrade[[#This Row],[Rank]]) &amp; ""</f>
        <v>O-9</v>
      </c>
      <c r="H2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O-9</v>
      </c>
      <c r="I255" s="17" t="str">
        <f>SUBSTITUTE(SUBSTITUTE(SUBSTITUTE(StatusBranchGrade[[#This Row],[Status]] &amp; "  /  " &amp; StatusBranchGrade[[#This Row],[Branch]] &amp; ";", "  /  ;", ";"), "  /  ;", ";"), ";", "")</f>
        <v>Active Duty  /  Coast Guard</v>
      </c>
      <c r="J255">
        <v>12</v>
      </c>
      <c r="K255" s="17" t="str">
        <f>IF(LEFT(StatusBranchGrade[[#This Row],[Which]], 1) = "1", StatusBranchGrade[[#This Row],[Key]], "")</f>
        <v>Active Duty  /  Coast Guard  /  O-9</v>
      </c>
      <c r="L255" s="17" t="str">
        <f>IF(LEFT(StatusBranchGrade[[#This Row],[Which]], 1) = "1", StatusBranchGrade[[#This Row],[Key0]], "")</f>
        <v>Active Duty  /  Coast Guard</v>
      </c>
      <c r="M255" s="17" t="str">
        <f>IF(RIGHT(StatusBranchGrade[[#This Row],[Which]], 1) = "2", StatusBranchGrade[[#This Row],[Key]], "")</f>
        <v>Active Duty  /  Coast Guard  /  O-9</v>
      </c>
      <c r="N255" s="17" t="str">
        <f>IF(RIGHT(StatusBranchGrade[[#This Row],[Which]], 1) = "2", StatusBranchGrade[[#This Row],[Key0]], "")</f>
        <v>Active Duty  /  Coast Guard</v>
      </c>
      <c r="O255" s="17" t="s">
        <v>296</v>
      </c>
      <c r="P255" s="17"/>
      <c r="Q255" s="63">
        <f>--ISNUMBER(IF(StatusBranchGrade[[#This Row],[Sponsor0]] = 'Calculation Worksheet'!$AV$6 &amp; "  /  " &amp; 'Calculation Worksheet'!$AV$7, 1, ""))</f>
        <v>0</v>
      </c>
      <c r="R255" s="63" t="str">
        <f>IF(StatusBranchGrade[[#This Row],[S1]] = 1, COUNTIF($Q$3:Q255, 1), "")</f>
        <v/>
      </c>
      <c r="S255" s="63" t="str">
        <f>IFERROR(INDEX(StatusBranchGrade[Rank/Grade], MATCH(ROWS($R$3:R255)-1, StatusBranchGrade[S2], 0)), "") &amp; ""</f>
        <v/>
      </c>
      <c r="T255" s="63">
        <f>--ISNUMBER(IF(StatusBranchGrade[[#This Row],[Spouse0]] = 'Calculation Worksheet'!$CG$6 &amp; "  /  " &amp; 'Calculation Worksheet'!$CG$7, 1, ""))</f>
        <v>0</v>
      </c>
      <c r="U255" s="63" t="str">
        <f>IF(StatusBranchGrade[[#This Row],[T1]] = 1, COUNTIF($T$3:T255, 1), "")</f>
        <v/>
      </c>
      <c r="V255" s="63" t="str">
        <f>IFERROR(INDEX(StatusBranchGrade[Rank/Grade], MATCH(ROWS($U$3:U255)-1, StatusBranchGrade[T2], 0)), "") &amp; ""</f>
        <v/>
      </c>
      <c r="W255" s="63"/>
    </row>
    <row r="256" spans="1:23" x14ac:dyDescent="0.25">
      <c r="A256">
        <v>5</v>
      </c>
      <c r="B256" t="s">
        <v>216</v>
      </c>
      <c r="C256" t="s">
        <v>184</v>
      </c>
      <c r="D256" t="s">
        <v>96</v>
      </c>
      <c r="E256" t="str">
        <f>IF(StatusBranchGrade[[#This Row],[Status]] = "CYS", "DoD", StatusBranchGrade[[#This Row],[Rank]] &amp; "")</f>
        <v>W-1</v>
      </c>
      <c r="F256" t="s">
        <v>96</v>
      </c>
      <c r="G256" t="str">
        <f>IF(StatusBranchGrade[[#This Row],[Rank]] = StatusBranchGrade[[#This Row],[Grade]], StatusBranchGrade[[#This Row],[Rank]], StatusBranchGrade[[#This Row],[Grade]] &amp; "/" &amp; StatusBranchGrade[[#This Row],[Rank]]) &amp; ""</f>
        <v>W-1</v>
      </c>
      <c r="H2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W-1</v>
      </c>
      <c r="I256" s="17" t="str">
        <f>SUBSTITUTE(SUBSTITUTE(SUBSTITUTE(StatusBranchGrade[[#This Row],[Status]] &amp; "  /  " &amp; StatusBranchGrade[[#This Row],[Branch]] &amp; ";", "  /  ;", ";"), "  /  ;", ";"), ";", "")</f>
        <v>Active Duty  /  Coast Guard</v>
      </c>
      <c r="J256">
        <v>12</v>
      </c>
      <c r="K256" s="17" t="str">
        <f>IF(LEFT(StatusBranchGrade[[#This Row],[Which]], 1) = "1", StatusBranchGrade[[#This Row],[Key]], "")</f>
        <v>Active Duty  /  Coast Guard  /  W-1</v>
      </c>
      <c r="L256" s="17" t="str">
        <f>IF(LEFT(StatusBranchGrade[[#This Row],[Which]], 1) = "1", StatusBranchGrade[[#This Row],[Key0]], "")</f>
        <v>Active Duty  /  Coast Guard</v>
      </c>
      <c r="M256" s="17" t="str">
        <f>IF(RIGHT(StatusBranchGrade[[#This Row],[Which]], 1) = "2", StatusBranchGrade[[#This Row],[Key]], "")</f>
        <v>Active Duty  /  Coast Guard  /  W-1</v>
      </c>
      <c r="N256" s="17" t="str">
        <f>IF(RIGHT(StatusBranchGrade[[#This Row],[Which]], 1) = "2", StatusBranchGrade[[#This Row],[Key0]], "")</f>
        <v>Active Duty  /  Coast Guard</v>
      </c>
      <c r="O256" s="17" t="s">
        <v>296</v>
      </c>
      <c r="P256" s="17"/>
      <c r="Q256" s="63">
        <f>--ISNUMBER(IF(StatusBranchGrade[[#This Row],[Sponsor0]] = 'Calculation Worksheet'!$AV$6 &amp; "  /  " &amp; 'Calculation Worksheet'!$AV$7, 1, ""))</f>
        <v>0</v>
      </c>
      <c r="R256" s="63" t="str">
        <f>IF(StatusBranchGrade[[#This Row],[S1]] = 1, COUNTIF($Q$3:Q256, 1), "")</f>
        <v/>
      </c>
      <c r="S256" s="63" t="str">
        <f>IFERROR(INDEX(StatusBranchGrade[Rank/Grade], MATCH(ROWS($R$3:R256)-1, StatusBranchGrade[S2], 0)), "") &amp; ""</f>
        <v/>
      </c>
      <c r="T256" s="63">
        <f>--ISNUMBER(IF(StatusBranchGrade[[#This Row],[Spouse0]] = 'Calculation Worksheet'!$CG$6 &amp; "  /  " &amp; 'Calculation Worksheet'!$CG$7, 1, ""))</f>
        <v>0</v>
      </c>
      <c r="U256" s="63" t="str">
        <f>IF(StatusBranchGrade[[#This Row],[T1]] = 1, COUNTIF($T$3:T256, 1), "")</f>
        <v/>
      </c>
      <c r="V256" s="63" t="str">
        <f>IFERROR(INDEX(StatusBranchGrade[Rank/Grade], MATCH(ROWS($U$3:U256)-1, StatusBranchGrade[T2], 0)), "") &amp; ""</f>
        <v/>
      </c>
      <c r="W256" s="63"/>
    </row>
    <row r="257" spans="1:23" x14ac:dyDescent="0.25">
      <c r="A257">
        <v>5</v>
      </c>
      <c r="B257" t="s">
        <v>216</v>
      </c>
      <c r="C257" t="s">
        <v>184</v>
      </c>
      <c r="D257" t="s">
        <v>95</v>
      </c>
      <c r="E257" t="str">
        <f>IF(StatusBranchGrade[[#This Row],[Status]] = "CYS", "DoD", StatusBranchGrade[[#This Row],[Rank]] &amp; "")</f>
        <v>W-2</v>
      </c>
      <c r="F257" t="s">
        <v>95</v>
      </c>
      <c r="G257" t="str">
        <f>IF(StatusBranchGrade[[#This Row],[Rank]] = StatusBranchGrade[[#This Row],[Grade]], StatusBranchGrade[[#This Row],[Rank]], StatusBranchGrade[[#This Row],[Grade]] &amp; "/" &amp; StatusBranchGrade[[#This Row],[Rank]]) &amp; ""</f>
        <v>W-2</v>
      </c>
      <c r="H2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W-2</v>
      </c>
      <c r="I257" s="17" t="str">
        <f>SUBSTITUTE(SUBSTITUTE(SUBSTITUTE(StatusBranchGrade[[#This Row],[Status]] &amp; "  /  " &amp; StatusBranchGrade[[#This Row],[Branch]] &amp; ";", "  /  ;", ";"), "  /  ;", ";"), ";", "")</f>
        <v>Active Duty  /  Coast Guard</v>
      </c>
      <c r="J257">
        <v>12</v>
      </c>
      <c r="K257" s="17" t="str">
        <f>IF(LEFT(StatusBranchGrade[[#This Row],[Which]], 1) = "1", StatusBranchGrade[[#This Row],[Key]], "")</f>
        <v>Active Duty  /  Coast Guard  /  W-2</v>
      </c>
      <c r="L257" s="17" t="str">
        <f>IF(LEFT(StatusBranchGrade[[#This Row],[Which]], 1) = "1", StatusBranchGrade[[#This Row],[Key0]], "")</f>
        <v>Active Duty  /  Coast Guard</v>
      </c>
      <c r="M257" s="17" t="str">
        <f>IF(RIGHT(StatusBranchGrade[[#This Row],[Which]], 1) = "2", StatusBranchGrade[[#This Row],[Key]], "")</f>
        <v>Active Duty  /  Coast Guard  /  W-2</v>
      </c>
      <c r="N257" s="17" t="str">
        <f>IF(RIGHT(StatusBranchGrade[[#This Row],[Which]], 1) = "2", StatusBranchGrade[[#This Row],[Key0]], "")</f>
        <v>Active Duty  /  Coast Guard</v>
      </c>
      <c r="O257" s="17" t="s">
        <v>296</v>
      </c>
      <c r="P257" s="17"/>
      <c r="Q257" s="63">
        <f>--ISNUMBER(IF(StatusBranchGrade[[#This Row],[Sponsor0]] = 'Calculation Worksheet'!$AV$6 &amp; "  /  " &amp; 'Calculation Worksheet'!$AV$7, 1, ""))</f>
        <v>0</v>
      </c>
      <c r="R257" s="63" t="str">
        <f>IF(StatusBranchGrade[[#This Row],[S1]] = 1, COUNTIF($Q$3:Q257, 1), "")</f>
        <v/>
      </c>
      <c r="S257" s="63" t="str">
        <f>IFERROR(INDEX(StatusBranchGrade[Rank/Grade], MATCH(ROWS($R$3:R257)-1, StatusBranchGrade[S2], 0)), "") &amp; ""</f>
        <v/>
      </c>
      <c r="T257" s="63">
        <f>--ISNUMBER(IF(StatusBranchGrade[[#This Row],[Spouse0]] = 'Calculation Worksheet'!$CG$6 &amp; "  /  " &amp; 'Calculation Worksheet'!$CG$7, 1, ""))</f>
        <v>0</v>
      </c>
      <c r="U257" s="63" t="str">
        <f>IF(StatusBranchGrade[[#This Row],[T1]] = 1, COUNTIF($T$3:T257, 1), "")</f>
        <v/>
      </c>
      <c r="V257" s="63" t="str">
        <f>IFERROR(INDEX(StatusBranchGrade[Rank/Grade], MATCH(ROWS($U$3:U257)-1, StatusBranchGrade[T2], 0)), "") &amp; ""</f>
        <v/>
      </c>
      <c r="W257" s="63"/>
    </row>
    <row r="258" spans="1:23" x14ac:dyDescent="0.25">
      <c r="A258">
        <v>5</v>
      </c>
      <c r="B258" t="s">
        <v>216</v>
      </c>
      <c r="C258" t="s">
        <v>184</v>
      </c>
      <c r="D258" t="s">
        <v>94</v>
      </c>
      <c r="E258" t="str">
        <f>IF(StatusBranchGrade[[#This Row],[Status]] = "CYS", "DoD", StatusBranchGrade[[#This Row],[Rank]] &amp; "")</f>
        <v>W-3</v>
      </c>
      <c r="F258" t="s">
        <v>94</v>
      </c>
      <c r="G258" t="str">
        <f>IF(StatusBranchGrade[[#This Row],[Rank]] = StatusBranchGrade[[#This Row],[Grade]], StatusBranchGrade[[#This Row],[Rank]], StatusBranchGrade[[#This Row],[Grade]] &amp; "/" &amp; StatusBranchGrade[[#This Row],[Rank]]) &amp; ""</f>
        <v>W-3</v>
      </c>
      <c r="H2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W-3</v>
      </c>
      <c r="I258" s="17" t="str">
        <f>SUBSTITUTE(SUBSTITUTE(SUBSTITUTE(StatusBranchGrade[[#This Row],[Status]] &amp; "  /  " &amp; StatusBranchGrade[[#This Row],[Branch]] &amp; ";", "  /  ;", ";"), "  /  ;", ";"), ";", "")</f>
        <v>Active Duty  /  Coast Guard</v>
      </c>
      <c r="J258">
        <v>12</v>
      </c>
      <c r="K258" s="17" t="str">
        <f>IF(LEFT(StatusBranchGrade[[#This Row],[Which]], 1) = "1", StatusBranchGrade[[#This Row],[Key]], "")</f>
        <v>Active Duty  /  Coast Guard  /  W-3</v>
      </c>
      <c r="L258" s="17" t="str">
        <f>IF(LEFT(StatusBranchGrade[[#This Row],[Which]], 1) = "1", StatusBranchGrade[[#This Row],[Key0]], "")</f>
        <v>Active Duty  /  Coast Guard</v>
      </c>
      <c r="M258" s="17" t="str">
        <f>IF(RIGHT(StatusBranchGrade[[#This Row],[Which]], 1) = "2", StatusBranchGrade[[#This Row],[Key]], "")</f>
        <v>Active Duty  /  Coast Guard  /  W-3</v>
      </c>
      <c r="N258" s="17" t="str">
        <f>IF(RIGHT(StatusBranchGrade[[#This Row],[Which]], 1) = "2", StatusBranchGrade[[#This Row],[Key0]], "")</f>
        <v>Active Duty  /  Coast Guard</v>
      </c>
      <c r="O258" s="17" t="s">
        <v>296</v>
      </c>
      <c r="P258" s="17"/>
      <c r="Q258" s="63">
        <f>--ISNUMBER(IF(StatusBranchGrade[[#This Row],[Sponsor0]] = 'Calculation Worksheet'!$AV$6 &amp; "  /  " &amp; 'Calculation Worksheet'!$AV$7, 1, ""))</f>
        <v>0</v>
      </c>
      <c r="R258" s="63" t="str">
        <f>IF(StatusBranchGrade[[#This Row],[S1]] = 1, COUNTIF($Q$3:Q258, 1), "")</f>
        <v/>
      </c>
      <c r="S258" s="63" t="str">
        <f>IFERROR(INDEX(StatusBranchGrade[Rank/Grade], MATCH(ROWS($R$3:R258)-1, StatusBranchGrade[S2], 0)), "") &amp; ""</f>
        <v/>
      </c>
      <c r="T258" s="63">
        <f>--ISNUMBER(IF(StatusBranchGrade[[#This Row],[Spouse0]] = 'Calculation Worksheet'!$CG$6 &amp; "  /  " &amp; 'Calculation Worksheet'!$CG$7, 1, ""))</f>
        <v>0</v>
      </c>
      <c r="U258" s="63" t="str">
        <f>IF(StatusBranchGrade[[#This Row],[T1]] = 1, COUNTIF($T$3:T258, 1), "")</f>
        <v/>
      </c>
      <c r="V258" s="63" t="str">
        <f>IFERROR(INDEX(StatusBranchGrade[Rank/Grade], MATCH(ROWS($U$3:U258)-1, StatusBranchGrade[T2], 0)), "") &amp; ""</f>
        <v/>
      </c>
      <c r="W258" s="63"/>
    </row>
    <row r="259" spans="1:23" x14ac:dyDescent="0.25">
      <c r="A259">
        <v>5</v>
      </c>
      <c r="B259" t="s">
        <v>216</v>
      </c>
      <c r="C259" t="s">
        <v>184</v>
      </c>
      <c r="D259" t="s">
        <v>93</v>
      </c>
      <c r="E259" t="str">
        <f>IF(StatusBranchGrade[[#This Row],[Status]] = "CYS", "DoD", StatusBranchGrade[[#This Row],[Rank]] &amp; "")</f>
        <v>W-4</v>
      </c>
      <c r="F259" t="s">
        <v>93</v>
      </c>
      <c r="G259" t="str">
        <f>IF(StatusBranchGrade[[#This Row],[Rank]] = StatusBranchGrade[[#This Row],[Grade]], StatusBranchGrade[[#This Row],[Rank]], StatusBranchGrade[[#This Row],[Grade]] &amp; "/" &amp; StatusBranchGrade[[#This Row],[Rank]]) &amp; ""</f>
        <v>W-4</v>
      </c>
      <c r="H2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Coast Guard  /  W-4</v>
      </c>
      <c r="I259" s="17" t="str">
        <f>SUBSTITUTE(SUBSTITUTE(SUBSTITUTE(StatusBranchGrade[[#This Row],[Status]] &amp; "  /  " &amp; StatusBranchGrade[[#This Row],[Branch]] &amp; ";", "  /  ;", ";"), "  /  ;", ";"), ";", "")</f>
        <v>Active Duty  /  Coast Guard</v>
      </c>
      <c r="J259">
        <v>12</v>
      </c>
      <c r="K259" s="17" t="str">
        <f>IF(LEFT(StatusBranchGrade[[#This Row],[Which]], 1) = "1", StatusBranchGrade[[#This Row],[Key]], "")</f>
        <v>Active Duty  /  Coast Guard  /  W-4</v>
      </c>
      <c r="L259" s="17" t="str">
        <f>IF(LEFT(StatusBranchGrade[[#This Row],[Which]], 1) = "1", StatusBranchGrade[[#This Row],[Key0]], "")</f>
        <v>Active Duty  /  Coast Guard</v>
      </c>
      <c r="M259" s="17" t="str">
        <f>IF(RIGHT(StatusBranchGrade[[#This Row],[Which]], 1) = "2", StatusBranchGrade[[#This Row],[Key]], "")</f>
        <v>Active Duty  /  Coast Guard  /  W-4</v>
      </c>
      <c r="N259" s="17" t="str">
        <f>IF(RIGHT(StatusBranchGrade[[#This Row],[Which]], 1) = "2", StatusBranchGrade[[#This Row],[Key0]], "")</f>
        <v>Active Duty  /  Coast Guard</v>
      </c>
      <c r="O259" s="17" t="s">
        <v>296</v>
      </c>
      <c r="P259" s="17"/>
      <c r="Q259" s="63">
        <f>--ISNUMBER(IF(StatusBranchGrade[[#This Row],[Sponsor0]] = 'Calculation Worksheet'!$AV$6 &amp; "  /  " &amp; 'Calculation Worksheet'!$AV$7, 1, ""))</f>
        <v>0</v>
      </c>
      <c r="R259" s="63" t="str">
        <f>IF(StatusBranchGrade[[#This Row],[S1]] = 1, COUNTIF($Q$3:Q259, 1), "")</f>
        <v/>
      </c>
      <c r="S259" s="63" t="str">
        <f>IFERROR(INDEX(StatusBranchGrade[Rank/Grade], MATCH(ROWS($R$3:R259)-1, StatusBranchGrade[S2], 0)), "") &amp; ""</f>
        <v/>
      </c>
      <c r="T259" s="63">
        <f>--ISNUMBER(IF(StatusBranchGrade[[#This Row],[Spouse0]] = 'Calculation Worksheet'!$CG$6 &amp; "  /  " &amp; 'Calculation Worksheet'!$CG$7, 1, ""))</f>
        <v>0</v>
      </c>
      <c r="U259" s="63" t="str">
        <f>IF(StatusBranchGrade[[#This Row],[T1]] = 1, COUNTIF($T$3:T259, 1), "")</f>
        <v/>
      </c>
      <c r="V259" s="63" t="str">
        <f>IFERROR(INDEX(StatusBranchGrade[Rank/Grade], MATCH(ROWS($U$3:U259)-1, StatusBranchGrade[T2], 0)), "") &amp; ""</f>
        <v/>
      </c>
      <c r="W259" s="63"/>
    </row>
    <row r="260" spans="1:23" x14ac:dyDescent="0.25">
      <c r="A260">
        <v>5</v>
      </c>
      <c r="B260" t="s">
        <v>216</v>
      </c>
      <c r="C260" t="s">
        <v>181</v>
      </c>
      <c r="D260" t="s">
        <v>105</v>
      </c>
      <c r="E260" t="str">
        <f>IF(StatusBranchGrade[[#This Row],[Status]] = "CYS", "DoD", StatusBranchGrade[[#This Row],[Rank]] &amp; "")</f>
        <v>E-1</v>
      </c>
      <c r="F260" t="s">
        <v>105</v>
      </c>
      <c r="G260" t="str">
        <f>IF(StatusBranchGrade[[#This Row],[Rank]] = StatusBranchGrade[[#This Row],[Grade]], StatusBranchGrade[[#This Row],[Rank]], StatusBranchGrade[[#This Row],[Grade]] &amp; "/" &amp; StatusBranchGrade[[#This Row],[Rank]]) &amp; ""</f>
        <v>E-1</v>
      </c>
      <c r="H2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E-1</v>
      </c>
      <c r="I260" s="17" t="str">
        <f>SUBSTITUTE(SUBSTITUTE(SUBSTITUTE(StatusBranchGrade[[#This Row],[Status]] &amp; "  /  " &amp; StatusBranchGrade[[#This Row],[Branch]] &amp; ";", "  /  ;", ";"), "  /  ;", ";"), ";", "")</f>
        <v>Active Duty  /  Marines</v>
      </c>
      <c r="J260">
        <v>12</v>
      </c>
      <c r="K260" s="17" t="str">
        <f>IF(LEFT(StatusBranchGrade[[#This Row],[Which]], 1) = "1", StatusBranchGrade[[#This Row],[Key]], "")</f>
        <v>Active Duty  /  Marines  /  E-1</v>
      </c>
      <c r="L260" s="17" t="str">
        <f>IF(LEFT(StatusBranchGrade[[#This Row],[Which]], 1) = "1", StatusBranchGrade[[#This Row],[Key0]], "")</f>
        <v>Active Duty  /  Marines</v>
      </c>
      <c r="M260" s="17" t="str">
        <f>IF(RIGHT(StatusBranchGrade[[#This Row],[Which]], 1) = "2", StatusBranchGrade[[#This Row],[Key]], "")</f>
        <v>Active Duty  /  Marines  /  E-1</v>
      </c>
      <c r="N260" s="17" t="str">
        <f>IF(RIGHT(StatusBranchGrade[[#This Row],[Which]], 1) = "2", StatusBranchGrade[[#This Row],[Key0]], "")</f>
        <v>Active Duty  /  Marines</v>
      </c>
      <c r="O260" s="17" t="s">
        <v>296</v>
      </c>
      <c r="P260" s="17"/>
      <c r="Q260" s="63">
        <f>--ISNUMBER(IF(StatusBranchGrade[[#This Row],[Sponsor0]] = 'Calculation Worksheet'!$AV$6 &amp; "  /  " &amp; 'Calculation Worksheet'!$AV$7, 1, ""))</f>
        <v>0</v>
      </c>
      <c r="R260" s="63" t="str">
        <f>IF(StatusBranchGrade[[#This Row],[S1]] = 1, COUNTIF($Q$3:Q260, 1), "")</f>
        <v/>
      </c>
      <c r="S260" s="63" t="str">
        <f>IFERROR(INDEX(StatusBranchGrade[Rank/Grade], MATCH(ROWS($R$3:R260)-1, StatusBranchGrade[S2], 0)), "") &amp; ""</f>
        <v/>
      </c>
      <c r="T260" s="63">
        <f>--ISNUMBER(IF(StatusBranchGrade[[#This Row],[Spouse0]] = 'Calculation Worksheet'!$CG$6 &amp; "  /  " &amp; 'Calculation Worksheet'!$CG$7, 1, ""))</f>
        <v>0</v>
      </c>
      <c r="U260" s="63" t="str">
        <f>IF(StatusBranchGrade[[#This Row],[T1]] = 1, COUNTIF($T$3:T260, 1), "")</f>
        <v/>
      </c>
      <c r="V260" s="63" t="str">
        <f>IFERROR(INDEX(StatusBranchGrade[Rank/Grade], MATCH(ROWS($U$3:U260)-1, StatusBranchGrade[T2], 0)), "") &amp; ""</f>
        <v/>
      </c>
      <c r="W260" s="63"/>
    </row>
    <row r="261" spans="1:23" x14ac:dyDescent="0.25">
      <c r="A261">
        <v>5</v>
      </c>
      <c r="B261" t="s">
        <v>216</v>
      </c>
      <c r="C261" t="s">
        <v>181</v>
      </c>
      <c r="D261" t="s">
        <v>104</v>
      </c>
      <c r="E261" t="str">
        <f>IF(StatusBranchGrade[[#This Row],[Status]] = "CYS", "DoD", StatusBranchGrade[[#This Row],[Rank]] &amp; "")</f>
        <v>E-2</v>
      </c>
      <c r="F261" t="s">
        <v>104</v>
      </c>
      <c r="G261" t="str">
        <f>IF(StatusBranchGrade[[#This Row],[Rank]] = StatusBranchGrade[[#This Row],[Grade]], StatusBranchGrade[[#This Row],[Rank]], StatusBranchGrade[[#This Row],[Grade]] &amp; "/" &amp; StatusBranchGrade[[#This Row],[Rank]]) &amp; ""</f>
        <v>E-2</v>
      </c>
      <c r="H2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E-2</v>
      </c>
      <c r="I261" s="17" t="str">
        <f>SUBSTITUTE(SUBSTITUTE(SUBSTITUTE(StatusBranchGrade[[#This Row],[Status]] &amp; "  /  " &amp; StatusBranchGrade[[#This Row],[Branch]] &amp; ";", "  /  ;", ";"), "  /  ;", ";"), ";", "")</f>
        <v>Active Duty  /  Marines</v>
      </c>
      <c r="J261">
        <v>12</v>
      </c>
      <c r="K261" s="17" t="str">
        <f>IF(LEFT(StatusBranchGrade[[#This Row],[Which]], 1) = "1", StatusBranchGrade[[#This Row],[Key]], "")</f>
        <v>Active Duty  /  Marines  /  E-2</v>
      </c>
      <c r="L261" s="17" t="str">
        <f>IF(LEFT(StatusBranchGrade[[#This Row],[Which]], 1) = "1", StatusBranchGrade[[#This Row],[Key0]], "")</f>
        <v>Active Duty  /  Marines</v>
      </c>
      <c r="M261" s="17" t="str">
        <f>IF(RIGHT(StatusBranchGrade[[#This Row],[Which]], 1) = "2", StatusBranchGrade[[#This Row],[Key]], "")</f>
        <v>Active Duty  /  Marines  /  E-2</v>
      </c>
      <c r="N261" s="17" t="str">
        <f>IF(RIGHT(StatusBranchGrade[[#This Row],[Which]], 1) = "2", StatusBranchGrade[[#This Row],[Key0]], "")</f>
        <v>Active Duty  /  Marines</v>
      </c>
      <c r="O261" s="17" t="s">
        <v>296</v>
      </c>
      <c r="P261" s="17"/>
      <c r="Q261" s="63">
        <f>--ISNUMBER(IF(StatusBranchGrade[[#This Row],[Sponsor0]] = 'Calculation Worksheet'!$AV$6 &amp; "  /  " &amp; 'Calculation Worksheet'!$AV$7, 1, ""))</f>
        <v>0</v>
      </c>
      <c r="R261" s="63" t="str">
        <f>IF(StatusBranchGrade[[#This Row],[S1]] = 1, COUNTIF($Q$3:Q261, 1), "")</f>
        <v/>
      </c>
      <c r="S261" s="63" t="str">
        <f>IFERROR(INDEX(StatusBranchGrade[Rank/Grade], MATCH(ROWS($R$3:R261)-1, StatusBranchGrade[S2], 0)), "") &amp; ""</f>
        <v/>
      </c>
      <c r="T261" s="63">
        <f>--ISNUMBER(IF(StatusBranchGrade[[#This Row],[Spouse0]] = 'Calculation Worksheet'!$CG$6 &amp; "  /  " &amp; 'Calculation Worksheet'!$CG$7, 1, ""))</f>
        <v>0</v>
      </c>
      <c r="U261" s="63" t="str">
        <f>IF(StatusBranchGrade[[#This Row],[T1]] = 1, COUNTIF($T$3:T261, 1), "")</f>
        <v/>
      </c>
      <c r="V261" s="63" t="str">
        <f>IFERROR(INDEX(StatusBranchGrade[Rank/Grade], MATCH(ROWS($U$3:U261)-1, StatusBranchGrade[T2], 0)), "") &amp; ""</f>
        <v/>
      </c>
      <c r="W261" s="63"/>
    </row>
    <row r="262" spans="1:23" x14ac:dyDescent="0.25">
      <c r="A262">
        <v>5</v>
      </c>
      <c r="B262" t="s">
        <v>216</v>
      </c>
      <c r="C262" t="s">
        <v>181</v>
      </c>
      <c r="D262" t="s">
        <v>103</v>
      </c>
      <c r="E262" t="str">
        <f>IF(StatusBranchGrade[[#This Row],[Status]] = "CYS", "DoD", StatusBranchGrade[[#This Row],[Rank]] &amp; "")</f>
        <v>E-3</v>
      </c>
      <c r="F262" t="s">
        <v>103</v>
      </c>
      <c r="G262" t="str">
        <f>IF(StatusBranchGrade[[#This Row],[Rank]] = StatusBranchGrade[[#This Row],[Grade]], StatusBranchGrade[[#This Row],[Rank]], StatusBranchGrade[[#This Row],[Grade]] &amp; "/" &amp; StatusBranchGrade[[#This Row],[Rank]]) &amp; ""</f>
        <v>E-3</v>
      </c>
      <c r="H2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E-3</v>
      </c>
      <c r="I262" s="17" t="str">
        <f>SUBSTITUTE(SUBSTITUTE(SUBSTITUTE(StatusBranchGrade[[#This Row],[Status]] &amp; "  /  " &amp; StatusBranchGrade[[#This Row],[Branch]] &amp; ";", "  /  ;", ";"), "  /  ;", ";"), ";", "")</f>
        <v>Active Duty  /  Marines</v>
      </c>
      <c r="J262">
        <v>12</v>
      </c>
      <c r="K262" s="17" t="str">
        <f>IF(LEFT(StatusBranchGrade[[#This Row],[Which]], 1) = "1", StatusBranchGrade[[#This Row],[Key]], "")</f>
        <v>Active Duty  /  Marines  /  E-3</v>
      </c>
      <c r="L262" s="17" t="str">
        <f>IF(LEFT(StatusBranchGrade[[#This Row],[Which]], 1) = "1", StatusBranchGrade[[#This Row],[Key0]], "")</f>
        <v>Active Duty  /  Marines</v>
      </c>
      <c r="M262" s="17" t="str">
        <f>IF(RIGHT(StatusBranchGrade[[#This Row],[Which]], 1) = "2", StatusBranchGrade[[#This Row],[Key]], "")</f>
        <v>Active Duty  /  Marines  /  E-3</v>
      </c>
      <c r="N262" s="17" t="str">
        <f>IF(RIGHT(StatusBranchGrade[[#This Row],[Which]], 1) = "2", StatusBranchGrade[[#This Row],[Key0]], "")</f>
        <v>Active Duty  /  Marines</v>
      </c>
      <c r="O262" s="17" t="s">
        <v>296</v>
      </c>
      <c r="P262" s="17"/>
      <c r="Q262" s="63">
        <f>--ISNUMBER(IF(StatusBranchGrade[[#This Row],[Sponsor0]] = 'Calculation Worksheet'!$AV$6 &amp; "  /  " &amp; 'Calculation Worksheet'!$AV$7, 1, ""))</f>
        <v>0</v>
      </c>
      <c r="R262" s="63" t="str">
        <f>IF(StatusBranchGrade[[#This Row],[S1]] = 1, COUNTIF($Q$3:Q262, 1), "")</f>
        <v/>
      </c>
      <c r="S262" s="63" t="str">
        <f>IFERROR(INDEX(StatusBranchGrade[Rank/Grade], MATCH(ROWS($R$3:R262)-1, StatusBranchGrade[S2], 0)), "") &amp; ""</f>
        <v/>
      </c>
      <c r="T262" s="63">
        <f>--ISNUMBER(IF(StatusBranchGrade[[#This Row],[Spouse0]] = 'Calculation Worksheet'!$CG$6 &amp; "  /  " &amp; 'Calculation Worksheet'!$CG$7, 1, ""))</f>
        <v>0</v>
      </c>
      <c r="U262" s="63" t="str">
        <f>IF(StatusBranchGrade[[#This Row],[T1]] = 1, COUNTIF($T$3:T262, 1), "")</f>
        <v/>
      </c>
      <c r="V262" s="63" t="str">
        <f>IFERROR(INDEX(StatusBranchGrade[Rank/Grade], MATCH(ROWS($U$3:U262)-1, StatusBranchGrade[T2], 0)), "") &amp; ""</f>
        <v/>
      </c>
      <c r="W262" s="63"/>
    </row>
    <row r="263" spans="1:23" x14ac:dyDescent="0.25">
      <c r="A263">
        <v>5</v>
      </c>
      <c r="B263" t="s">
        <v>216</v>
      </c>
      <c r="C263" t="s">
        <v>181</v>
      </c>
      <c r="D263" t="s">
        <v>102</v>
      </c>
      <c r="E263" t="str">
        <f>IF(StatusBranchGrade[[#This Row],[Status]] = "CYS", "DoD", StatusBranchGrade[[#This Row],[Rank]] &amp; "")</f>
        <v>E-4</v>
      </c>
      <c r="F263" t="s">
        <v>102</v>
      </c>
      <c r="G263" t="str">
        <f>IF(StatusBranchGrade[[#This Row],[Rank]] = StatusBranchGrade[[#This Row],[Grade]], StatusBranchGrade[[#This Row],[Rank]], StatusBranchGrade[[#This Row],[Grade]] &amp; "/" &amp; StatusBranchGrade[[#This Row],[Rank]]) &amp; ""</f>
        <v>E-4</v>
      </c>
      <c r="H2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E-4</v>
      </c>
      <c r="I263" s="17" t="str">
        <f>SUBSTITUTE(SUBSTITUTE(SUBSTITUTE(StatusBranchGrade[[#This Row],[Status]] &amp; "  /  " &amp; StatusBranchGrade[[#This Row],[Branch]] &amp; ";", "  /  ;", ";"), "  /  ;", ";"), ";", "")</f>
        <v>Active Duty  /  Marines</v>
      </c>
      <c r="J263">
        <v>12</v>
      </c>
      <c r="K263" s="17" t="str">
        <f>IF(LEFT(StatusBranchGrade[[#This Row],[Which]], 1) = "1", StatusBranchGrade[[#This Row],[Key]], "")</f>
        <v>Active Duty  /  Marines  /  E-4</v>
      </c>
      <c r="L263" s="17" t="str">
        <f>IF(LEFT(StatusBranchGrade[[#This Row],[Which]], 1) = "1", StatusBranchGrade[[#This Row],[Key0]], "")</f>
        <v>Active Duty  /  Marines</v>
      </c>
      <c r="M263" s="17" t="str">
        <f>IF(RIGHT(StatusBranchGrade[[#This Row],[Which]], 1) = "2", StatusBranchGrade[[#This Row],[Key]], "")</f>
        <v>Active Duty  /  Marines  /  E-4</v>
      </c>
      <c r="N263" s="17" t="str">
        <f>IF(RIGHT(StatusBranchGrade[[#This Row],[Which]], 1) = "2", StatusBranchGrade[[#This Row],[Key0]], "")</f>
        <v>Active Duty  /  Marines</v>
      </c>
      <c r="O263" s="17" t="s">
        <v>296</v>
      </c>
      <c r="P263" s="17"/>
      <c r="Q263" s="63">
        <f>--ISNUMBER(IF(StatusBranchGrade[[#This Row],[Sponsor0]] = 'Calculation Worksheet'!$AV$6 &amp; "  /  " &amp; 'Calculation Worksheet'!$AV$7, 1, ""))</f>
        <v>0</v>
      </c>
      <c r="R263" s="63" t="str">
        <f>IF(StatusBranchGrade[[#This Row],[S1]] = 1, COUNTIF($Q$3:Q263, 1), "")</f>
        <v/>
      </c>
      <c r="S263" s="63" t="str">
        <f>IFERROR(INDEX(StatusBranchGrade[Rank/Grade], MATCH(ROWS($R$3:R263)-1, StatusBranchGrade[S2], 0)), "") &amp; ""</f>
        <v/>
      </c>
      <c r="T263" s="63">
        <f>--ISNUMBER(IF(StatusBranchGrade[[#This Row],[Spouse0]] = 'Calculation Worksheet'!$CG$6 &amp; "  /  " &amp; 'Calculation Worksheet'!$CG$7, 1, ""))</f>
        <v>0</v>
      </c>
      <c r="U263" s="63" t="str">
        <f>IF(StatusBranchGrade[[#This Row],[T1]] = 1, COUNTIF($T$3:T263, 1), "")</f>
        <v/>
      </c>
      <c r="V263" s="63" t="str">
        <f>IFERROR(INDEX(StatusBranchGrade[Rank/Grade], MATCH(ROWS($U$3:U263)-1, StatusBranchGrade[T2], 0)), "") &amp; ""</f>
        <v/>
      </c>
      <c r="W263" s="63"/>
    </row>
    <row r="264" spans="1:23" x14ac:dyDescent="0.25">
      <c r="A264">
        <v>5</v>
      </c>
      <c r="B264" t="s">
        <v>216</v>
      </c>
      <c r="C264" t="s">
        <v>181</v>
      </c>
      <c r="D264" t="s">
        <v>101</v>
      </c>
      <c r="E264" t="str">
        <f>IF(StatusBranchGrade[[#This Row],[Status]] = "CYS", "DoD", StatusBranchGrade[[#This Row],[Rank]] &amp; "")</f>
        <v>E-5</v>
      </c>
      <c r="F264" t="s">
        <v>101</v>
      </c>
      <c r="G264" t="str">
        <f>IF(StatusBranchGrade[[#This Row],[Rank]] = StatusBranchGrade[[#This Row],[Grade]], StatusBranchGrade[[#This Row],[Rank]], StatusBranchGrade[[#This Row],[Grade]] &amp; "/" &amp; StatusBranchGrade[[#This Row],[Rank]]) &amp; ""</f>
        <v>E-5</v>
      </c>
      <c r="H2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E-5</v>
      </c>
      <c r="I264" s="17" t="str">
        <f>SUBSTITUTE(SUBSTITUTE(SUBSTITUTE(StatusBranchGrade[[#This Row],[Status]] &amp; "  /  " &amp; StatusBranchGrade[[#This Row],[Branch]] &amp; ";", "  /  ;", ";"), "  /  ;", ";"), ";", "")</f>
        <v>Active Duty  /  Marines</v>
      </c>
      <c r="J264">
        <v>12</v>
      </c>
      <c r="K264" s="17" t="str">
        <f>IF(LEFT(StatusBranchGrade[[#This Row],[Which]], 1) = "1", StatusBranchGrade[[#This Row],[Key]], "")</f>
        <v>Active Duty  /  Marines  /  E-5</v>
      </c>
      <c r="L264" s="17" t="str">
        <f>IF(LEFT(StatusBranchGrade[[#This Row],[Which]], 1) = "1", StatusBranchGrade[[#This Row],[Key0]], "")</f>
        <v>Active Duty  /  Marines</v>
      </c>
      <c r="M264" s="17" t="str">
        <f>IF(RIGHT(StatusBranchGrade[[#This Row],[Which]], 1) = "2", StatusBranchGrade[[#This Row],[Key]], "")</f>
        <v>Active Duty  /  Marines  /  E-5</v>
      </c>
      <c r="N264" s="17" t="str">
        <f>IF(RIGHT(StatusBranchGrade[[#This Row],[Which]], 1) = "2", StatusBranchGrade[[#This Row],[Key0]], "")</f>
        <v>Active Duty  /  Marines</v>
      </c>
      <c r="O264" s="17" t="s">
        <v>296</v>
      </c>
      <c r="P264" s="17"/>
      <c r="Q264" s="63">
        <f>--ISNUMBER(IF(StatusBranchGrade[[#This Row],[Sponsor0]] = 'Calculation Worksheet'!$AV$6 &amp; "  /  " &amp; 'Calculation Worksheet'!$AV$7, 1, ""))</f>
        <v>0</v>
      </c>
      <c r="R264" s="63" t="str">
        <f>IF(StatusBranchGrade[[#This Row],[S1]] = 1, COUNTIF($Q$3:Q264, 1), "")</f>
        <v/>
      </c>
      <c r="S264" s="63" t="str">
        <f>IFERROR(INDEX(StatusBranchGrade[Rank/Grade], MATCH(ROWS($R$3:R264)-1, StatusBranchGrade[S2], 0)), "") &amp; ""</f>
        <v/>
      </c>
      <c r="T264" s="63">
        <f>--ISNUMBER(IF(StatusBranchGrade[[#This Row],[Spouse0]] = 'Calculation Worksheet'!$CG$6 &amp; "  /  " &amp; 'Calculation Worksheet'!$CG$7, 1, ""))</f>
        <v>0</v>
      </c>
      <c r="U264" s="63" t="str">
        <f>IF(StatusBranchGrade[[#This Row],[T1]] = 1, COUNTIF($T$3:T264, 1), "")</f>
        <v/>
      </c>
      <c r="V264" s="63" t="str">
        <f>IFERROR(INDEX(StatusBranchGrade[Rank/Grade], MATCH(ROWS($U$3:U264)-1, StatusBranchGrade[T2], 0)), "") &amp; ""</f>
        <v/>
      </c>
      <c r="W264" s="63"/>
    </row>
    <row r="265" spans="1:23" x14ac:dyDescent="0.25">
      <c r="A265">
        <v>5</v>
      </c>
      <c r="B265" t="s">
        <v>216</v>
      </c>
      <c r="C265" t="s">
        <v>181</v>
      </c>
      <c r="D265" t="s">
        <v>100</v>
      </c>
      <c r="E265" t="str">
        <f>IF(StatusBranchGrade[[#This Row],[Status]] = "CYS", "DoD", StatusBranchGrade[[#This Row],[Rank]] &amp; "")</f>
        <v>E-6</v>
      </c>
      <c r="F265" t="s">
        <v>100</v>
      </c>
      <c r="G265" t="str">
        <f>IF(StatusBranchGrade[[#This Row],[Rank]] = StatusBranchGrade[[#This Row],[Grade]], StatusBranchGrade[[#This Row],[Rank]], StatusBranchGrade[[#This Row],[Grade]] &amp; "/" &amp; StatusBranchGrade[[#This Row],[Rank]]) &amp; ""</f>
        <v>E-6</v>
      </c>
      <c r="H2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E-6</v>
      </c>
      <c r="I265" s="17" t="str">
        <f>SUBSTITUTE(SUBSTITUTE(SUBSTITUTE(StatusBranchGrade[[#This Row],[Status]] &amp; "  /  " &amp; StatusBranchGrade[[#This Row],[Branch]] &amp; ";", "  /  ;", ";"), "  /  ;", ";"), ";", "")</f>
        <v>Active Duty  /  Marines</v>
      </c>
      <c r="J265">
        <v>12</v>
      </c>
      <c r="K265" s="17" t="str">
        <f>IF(LEFT(StatusBranchGrade[[#This Row],[Which]], 1) = "1", StatusBranchGrade[[#This Row],[Key]], "")</f>
        <v>Active Duty  /  Marines  /  E-6</v>
      </c>
      <c r="L265" s="17" t="str">
        <f>IF(LEFT(StatusBranchGrade[[#This Row],[Which]], 1) = "1", StatusBranchGrade[[#This Row],[Key0]], "")</f>
        <v>Active Duty  /  Marines</v>
      </c>
      <c r="M265" s="17" t="str">
        <f>IF(RIGHT(StatusBranchGrade[[#This Row],[Which]], 1) = "2", StatusBranchGrade[[#This Row],[Key]], "")</f>
        <v>Active Duty  /  Marines  /  E-6</v>
      </c>
      <c r="N265" s="17" t="str">
        <f>IF(RIGHT(StatusBranchGrade[[#This Row],[Which]], 1) = "2", StatusBranchGrade[[#This Row],[Key0]], "")</f>
        <v>Active Duty  /  Marines</v>
      </c>
      <c r="O265" s="17" t="s">
        <v>296</v>
      </c>
      <c r="P265" s="17"/>
      <c r="Q265" s="63">
        <f>--ISNUMBER(IF(StatusBranchGrade[[#This Row],[Sponsor0]] = 'Calculation Worksheet'!$AV$6 &amp; "  /  " &amp; 'Calculation Worksheet'!$AV$7, 1, ""))</f>
        <v>0</v>
      </c>
      <c r="R265" s="63" t="str">
        <f>IF(StatusBranchGrade[[#This Row],[S1]] = 1, COUNTIF($Q$3:Q265, 1), "")</f>
        <v/>
      </c>
      <c r="S265" s="63" t="str">
        <f>IFERROR(INDEX(StatusBranchGrade[Rank/Grade], MATCH(ROWS($R$3:R265)-1, StatusBranchGrade[S2], 0)), "") &amp; ""</f>
        <v/>
      </c>
      <c r="T265" s="63">
        <f>--ISNUMBER(IF(StatusBranchGrade[[#This Row],[Spouse0]] = 'Calculation Worksheet'!$CG$6 &amp; "  /  " &amp; 'Calculation Worksheet'!$CG$7, 1, ""))</f>
        <v>0</v>
      </c>
      <c r="U265" s="63" t="str">
        <f>IF(StatusBranchGrade[[#This Row],[T1]] = 1, COUNTIF($T$3:T265, 1), "")</f>
        <v/>
      </c>
      <c r="V265" s="63" t="str">
        <f>IFERROR(INDEX(StatusBranchGrade[Rank/Grade], MATCH(ROWS($U$3:U265)-1, StatusBranchGrade[T2], 0)), "") &amp; ""</f>
        <v/>
      </c>
      <c r="W265" s="63"/>
    </row>
    <row r="266" spans="1:23" x14ac:dyDescent="0.25">
      <c r="A266">
        <v>5</v>
      </c>
      <c r="B266" t="s">
        <v>216</v>
      </c>
      <c r="C266" t="s">
        <v>181</v>
      </c>
      <c r="D266" t="s">
        <v>99</v>
      </c>
      <c r="E266" t="str">
        <f>IF(StatusBranchGrade[[#This Row],[Status]] = "CYS", "DoD", StatusBranchGrade[[#This Row],[Rank]] &amp; "")</f>
        <v>E-7</v>
      </c>
      <c r="F266" t="s">
        <v>99</v>
      </c>
      <c r="G266" t="str">
        <f>IF(StatusBranchGrade[[#This Row],[Rank]] = StatusBranchGrade[[#This Row],[Grade]], StatusBranchGrade[[#This Row],[Rank]], StatusBranchGrade[[#This Row],[Grade]] &amp; "/" &amp; StatusBranchGrade[[#This Row],[Rank]]) &amp; ""</f>
        <v>E-7</v>
      </c>
      <c r="H2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E-7</v>
      </c>
      <c r="I266" s="17" t="str">
        <f>SUBSTITUTE(SUBSTITUTE(SUBSTITUTE(StatusBranchGrade[[#This Row],[Status]] &amp; "  /  " &amp; StatusBranchGrade[[#This Row],[Branch]] &amp; ";", "  /  ;", ";"), "  /  ;", ";"), ";", "")</f>
        <v>Active Duty  /  Marines</v>
      </c>
      <c r="J266">
        <v>12</v>
      </c>
      <c r="K266" s="17" t="str">
        <f>IF(LEFT(StatusBranchGrade[[#This Row],[Which]], 1) = "1", StatusBranchGrade[[#This Row],[Key]], "")</f>
        <v>Active Duty  /  Marines  /  E-7</v>
      </c>
      <c r="L266" s="17" t="str">
        <f>IF(LEFT(StatusBranchGrade[[#This Row],[Which]], 1) = "1", StatusBranchGrade[[#This Row],[Key0]], "")</f>
        <v>Active Duty  /  Marines</v>
      </c>
      <c r="M266" s="17" t="str">
        <f>IF(RIGHT(StatusBranchGrade[[#This Row],[Which]], 1) = "2", StatusBranchGrade[[#This Row],[Key]], "")</f>
        <v>Active Duty  /  Marines  /  E-7</v>
      </c>
      <c r="N266" s="17" t="str">
        <f>IF(RIGHT(StatusBranchGrade[[#This Row],[Which]], 1) = "2", StatusBranchGrade[[#This Row],[Key0]], "")</f>
        <v>Active Duty  /  Marines</v>
      </c>
      <c r="O266" s="17" t="s">
        <v>296</v>
      </c>
      <c r="P266" s="17"/>
      <c r="Q266" s="63">
        <f>--ISNUMBER(IF(StatusBranchGrade[[#This Row],[Sponsor0]] = 'Calculation Worksheet'!$AV$6 &amp; "  /  " &amp; 'Calculation Worksheet'!$AV$7, 1, ""))</f>
        <v>0</v>
      </c>
      <c r="R266" s="63" t="str">
        <f>IF(StatusBranchGrade[[#This Row],[S1]] = 1, COUNTIF($Q$3:Q266, 1), "")</f>
        <v/>
      </c>
      <c r="S266" s="63" t="str">
        <f>IFERROR(INDEX(StatusBranchGrade[Rank/Grade], MATCH(ROWS($R$3:R266)-1, StatusBranchGrade[S2], 0)), "") &amp; ""</f>
        <v/>
      </c>
      <c r="T266" s="63">
        <f>--ISNUMBER(IF(StatusBranchGrade[[#This Row],[Spouse0]] = 'Calculation Worksheet'!$CG$6 &amp; "  /  " &amp; 'Calculation Worksheet'!$CG$7, 1, ""))</f>
        <v>0</v>
      </c>
      <c r="U266" s="63" t="str">
        <f>IF(StatusBranchGrade[[#This Row],[T1]] = 1, COUNTIF($T$3:T266, 1), "")</f>
        <v/>
      </c>
      <c r="V266" s="63" t="str">
        <f>IFERROR(INDEX(StatusBranchGrade[Rank/Grade], MATCH(ROWS($U$3:U266)-1, StatusBranchGrade[T2], 0)), "") &amp; ""</f>
        <v/>
      </c>
      <c r="W266" s="63"/>
    </row>
    <row r="267" spans="1:23" x14ac:dyDescent="0.25">
      <c r="A267">
        <v>5</v>
      </c>
      <c r="B267" t="s">
        <v>216</v>
      </c>
      <c r="C267" t="s">
        <v>181</v>
      </c>
      <c r="D267" t="s">
        <v>98</v>
      </c>
      <c r="E267" t="str">
        <f>IF(StatusBranchGrade[[#This Row],[Status]] = "CYS", "DoD", StatusBranchGrade[[#This Row],[Rank]] &amp; "")</f>
        <v>E-8</v>
      </c>
      <c r="F267" t="s">
        <v>98</v>
      </c>
      <c r="G267" t="str">
        <f>IF(StatusBranchGrade[[#This Row],[Rank]] = StatusBranchGrade[[#This Row],[Grade]], StatusBranchGrade[[#This Row],[Rank]], StatusBranchGrade[[#This Row],[Grade]] &amp; "/" &amp; StatusBranchGrade[[#This Row],[Rank]]) &amp; ""</f>
        <v>E-8</v>
      </c>
      <c r="H2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E-8</v>
      </c>
      <c r="I267" s="17" t="str">
        <f>SUBSTITUTE(SUBSTITUTE(SUBSTITUTE(StatusBranchGrade[[#This Row],[Status]] &amp; "  /  " &amp; StatusBranchGrade[[#This Row],[Branch]] &amp; ";", "  /  ;", ";"), "  /  ;", ";"), ";", "")</f>
        <v>Active Duty  /  Marines</v>
      </c>
      <c r="J267">
        <v>12</v>
      </c>
      <c r="K267" s="17" t="str">
        <f>IF(LEFT(StatusBranchGrade[[#This Row],[Which]], 1) = "1", StatusBranchGrade[[#This Row],[Key]], "")</f>
        <v>Active Duty  /  Marines  /  E-8</v>
      </c>
      <c r="L267" s="17" t="str">
        <f>IF(LEFT(StatusBranchGrade[[#This Row],[Which]], 1) = "1", StatusBranchGrade[[#This Row],[Key0]], "")</f>
        <v>Active Duty  /  Marines</v>
      </c>
      <c r="M267" s="17" t="str">
        <f>IF(RIGHT(StatusBranchGrade[[#This Row],[Which]], 1) = "2", StatusBranchGrade[[#This Row],[Key]], "")</f>
        <v>Active Duty  /  Marines  /  E-8</v>
      </c>
      <c r="N267" s="17" t="str">
        <f>IF(RIGHT(StatusBranchGrade[[#This Row],[Which]], 1) = "2", StatusBranchGrade[[#This Row],[Key0]], "")</f>
        <v>Active Duty  /  Marines</v>
      </c>
      <c r="O267" s="17" t="s">
        <v>296</v>
      </c>
      <c r="P267" s="17"/>
      <c r="Q267" s="63">
        <f>--ISNUMBER(IF(StatusBranchGrade[[#This Row],[Sponsor0]] = 'Calculation Worksheet'!$AV$6 &amp; "  /  " &amp; 'Calculation Worksheet'!$AV$7, 1, ""))</f>
        <v>0</v>
      </c>
      <c r="R267" s="63" t="str">
        <f>IF(StatusBranchGrade[[#This Row],[S1]] = 1, COUNTIF($Q$3:Q267, 1), "")</f>
        <v/>
      </c>
      <c r="S267" s="63" t="str">
        <f>IFERROR(INDEX(StatusBranchGrade[Rank/Grade], MATCH(ROWS($R$3:R267)-1, StatusBranchGrade[S2], 0)), "") &amp; ""</f>
        <v/>
      </c>
      <c r="T267" s="63">
        <f>--ISNUMBER(IF(StatusBranchGrade[[#This Row],[Spouse0]] = 'Calculation Worksheet'!$CG$6 &amp; "  /  " &amp; 'Calculation Worksheet'!$CG$7, 1, ""))</f>
        <v>0</v>
      </c>
      <c r="U267" s="63" t="str">
        <f>IF(StatusBranchGrade[[#This Row],[T1]] = 1, COUNTIF($T$3:T267, 1), "")</f>
        <v/>
      </c>
      <c r="V267" s="63" t="str">
        <f>IFERROR(INDEX(StatusBranchGrade[Rank/Grade], MATCH(ROWS($U$3:U267)-1, StatusBranchGrade[T2], 0)), "") &amp; ""</f>
        <v/>
      </c>
      <c r="W267" s="63"/>
    </row>
    <row r="268" spans="1:23" x14ac:dyDescent="0.25">
      <c r="A268">
        <v>5</v>
      </c>
      <c r="B268" t="s">
        <v>216</v>
      </c>
      <c r="C268" t="s">
        <v>181</v>
      </c>
      <c r="D268" t="s">
        <v>97</v>
      </c>
      <c r="E268" t="str">
        <f>IF(StatusBranchGrade[[#This Row],[Status]] = "CYS", "DoD", StatusBranchGrade[[#This Row],[Rank]] &amp; "")</f>
        <v>E-9</v>
      </c>
      <c r="F268" t="s">
        <v>97</v>
      </c>
      <c r="G268" t="str">
        <f>IF(StatusBranchGrade[[#This Row],[Rank]] = StatusBranchGrade[[#This Row],[Grade]], StatusBranchGrade[[#This Row],[Rank]], StatusBranchGrade[[#This Row],[Grade]] &amp; "/" &amp; StatusBranchGrade[[#This Row],[Rank]]) &amp; ""</f>
        <v>E-9</v>
      </c>
      <c r="H2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E-9</v>
      </c>
      <c r="I268" s="17" t="str">
        <f>SUBSTITUTE(SUBSTITUTE(SUBSTITUTE(StatusBranchGrade[[#This Row],[Status]] &amp; "  /  " &amp; StatusBranchGrade[[#This Row],[Branch]] &amp; ";", "  /  ;", ";"), "  /  ;", ";"), ";", "")</f>
        <v>Active Duty  /  Marines</v>
      </c>
      <c r="J268">
        <v>12</v>
      </c>
      <c r="K268" s="17" t="str">
        <f>IF(LEFT(StatusBranchGrade[[#This Row],[Which]], 1) = "1", StatusBranchGrade[[#This Row],[Key]], "")</f>
        <v>Active Duty  /  Marines  /  E-9</v>
      </c>
      <c r="L268" s="17" t="str">
        <f>IF(LEFT(StatusBranchGrade[[#This Row],[Which]], 1) = "1", StatusBranchGrade[[#This Row],[Key0]], "")</f>
        <v>Active Duty  /  Marines</v>
      </c>
      <c r="M268" s="17" t="str">
        <f>IF(RIGHT(StatusBranchGrade[[#This Row],[Which]], 1) = "2", StatusBranchGrade[[#This Row],[Key]], "")</f>
        <v>Active Duty  /  Marines  /  E-9</v>
      </c>
      <c r="N268" s="17" t="str">
        <f>IF(RIGHT(StatusBranchGrade[[#This Row],[Which]], 1) = "2", StatusBranchGrade[[#This Row],[Key0]], "")</f>
        <v>Active Duty  /  Marines</v>
      </c>
      <c r="O268" s="17" t="s">
        <v>296</v>
      </c>
      <c r="P268" s="17"/>
      <c r="Q268" s="63">
        <f>--ISNUMBER(IF(StatusBranchGrade[[#This Row],[Sponsor0]] = 'Calculation Worksheet'!$AV$6 &amp; "  /  " &amp; 'Calculation Worksheet'!$AV$7, 1, ""))</f>
        <v>0</v>
      </c>
      <c r="R268" s="63" t="str">
        <f>IF(StatusBranchGrade[[#This Row],[S1]] = 1, COUNTIF($Q$3:Q268, 1), "")</f>
        <v/>
      </c>
      <c r="S268" s="63" t="str">
        <f>IFERROR(INDEX(StatusBranchGrade[Rank/Grade], MATCH(ROWS($R$3:R268)-1, StatusBranchGrade[S2], 0)), "") &amp; ""</f>
        <v/>
      </c>
      <c r="T268" s="63">
        <f>--ISNUMBER(IF(StatusBranchGrade[[#This Row],[Spouse0]] = 'Calculation Worksheet'!$CG$6 &amp; "  /  " &amp; 'Calculation Worksheet'!$CG$7, 1, ""))</f>
        <v>0</v>
      </c>
      <c r="U268" s="63" t="str">
        <f>IF(StatusBranchGrade[[#This Row],[T1]] = 1, COUNTIF($T$3:T268, 1), "")</f>
        <v/>
      </c>
      <c r="V268" s="63" t="str">
        <f>IFERROR(INDEX(StatusBranchGrade[Rank/Grade], MATCH(ROWS($U$3:U268)-1, StatusBranchGrade[T2], 0)), "") &amp; ""</f>
        <v/>
      </c>
      <c r="W268" s="63"/>
    </row>
    <row r="269" spans="1:23" x14ac:dyDescent="0.25">
      <c r="A269">
        <v>5</v>
      </c>
      <c r="B269" t="s">
        <v>216</v>
      </c>
      <c r="C269" t="s">
        <v>181</v>
      </c>
      <c r="D269" t="s">
        <v>91</v>
      </c>
      <c r="E269" t="str">
        <f>IF(StatusBranchGrade[[#This Row],[Status]] = "CYS", "DoD", StatusBranchGrade[[#This Row],[Rank]] &amp; "")</f>
        <v>O-1</v>
      </c>
      <c r="F269" t="s">
        <v>91</v>
      </c>
      <c r="G269" t="str">
        <f>IF(StatusBranchGrade[[#This Row],[Rank]] = StatusBranchGrade[[#This Row],[Grade]], StatusBranchGrade[[#This Row],[Rank]], StatusBranchGrade[[#This Row],[Grade]] &amp; "/" &amp; StatusBranchGrade[[#This Row],[Rank]]) &amp; ""</f>
        <v>O-1</v>
      </c>
      <c r="H2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O-1</v>
      </c>
      <c r="I269" s="17" t="str">
        <f>SUBSTITUTE(SUBSTITUTE(SUBSTITUTE(StatusBranchGrade[[#This Row],[Status]] &amp; "  /  " &amp; StatusBranchGrade[[#This Row],[Branch]] &amp; ";", "  /  ;", ";"), "  /  ;", ";"), ";", "")</f>
        <v>Active Duty  /  Marines</v>
      </c>
      <c r="J269">
        <v>12</v>
      </c>
      <c r="K269" s="17" t="str">
        <f>IF(LEFT(StatusBranchGrade[[#This Row],[Which]], 1) = "1", StatusBranchGrade[[#This Row],[Key]], "")</f>
        <v>Active Duty  /  Marines  /  O-1</v>
      </c>
      <c r="L269" s="17" t="str">
        <f>IF(LEFT(StatusBranchGrade[[#This Row],[Which]], 1) = "1", StatusBranchGrade[[#This Row],[Key0]], "")</f>
        <v>Active Duty  /  Marines</v>
      </c>
      <c r="M269" s="17" t="str">
        <f>IF(RIGHT(StatusBranchGrade[[#This Row],[Which]], 1) = "2", StatusBranchGrade[[#This Row],[Key]], "")</f>
        <v>Active Duty  /  Marines  /  O-1</v>
      </c>
      <c r="N269" s="17" t="str">
        <f>IF(RIGHT(StatusBranchGrade[[#This Row],[Which]], 1) = "2", StatusBranchGrade[[#This Row],[Key0]], "")</f>
        <v>Active Duty  /  Marines</v>
      </c>
      <c r="O269" s="17" t="s">
        <v>296</v>
      </c>
      <c r="P269" s="17"/>
      <c r="Q269" s="63">
        <f>--ISNUMBER(IF(StatusBranchGrade[[#This Row],[Sponsor0]] = 'Calculation Worksheet'!$AV$6 &amp; "  /  " &amp; 'Calculation Worksheet'!$AV$7, 1, ""))</f>
        <v>0</v>
      </c>
      <c r="R269" s="63" t="str">
        <f>IF(StatusBranchGrade[[#This Row],[S1]] = 1, COUNTIF($Q$3:Q269, 1), "")</f>
        <v/>
      </c>
      <c r="S269" s="63" t="str">
        <f>IFERROR(INDEX(StatusBranchGrade[Rank/Grade], MATCH(ROWS($R$3:R269)-1, StatusBranchGrade[S2], 0)), "") &amp; ""</f>
        <v/>
      </c>
      <c r="T269" s="63">
        <f>--ISNUMBER(IF(StatusBranchGrade[[#This Row],[Spouse0]] = 'Calculation Worksheet'!$CG$6 &amp; "  /  " &amp; 'Calculation Worksheet'!$CG$7, 1, ""))</f>
        <v>0</v>
      </c>
      <c r="U269" s="63" t="str">
        <f>IF(StatusBranchGrade[[#This Row],[T1]] = 1, COUNTIF($T$3:T269, 1), "")</f>
        <v/>
      </c>
      <c r="V269" s="63" t="str">
        <f>IFERROR(INDEX(StatusBranchGrade[Rank/Grade], MATCH(ROWS($U$3:U269)-1, StatusBranchGrade[T2], 0)), "") &amp; ""</f>
        <v/>
      </c>
      <c r="W269" s="63"/>
    </row>
    <row r="270" spans="1:23" x14ac:dyDescent="0.25">
      <c r="A270">
        <v>5</v>
      </c>
      <c r="B270" t="s">
        <v>216</v>
      </c>
      <c r="C270" t="s">
        <v>181</v>
      </c>
      <c r="D270" s="75" t="s">
        <v>10</v>
      </c>
      <c r="E270" s="75" t="str">
        <f>IF(StatusBranchGrade[[#This Row],[Status]] = "CYS", "DoD", StatusBranchGrade[[#This Row],[Rank]] &amp; "")</f>
        <v>O1E</v>
      </c>
      <c r="F270" s="75" t="s">
        <v>91</v>
      </c>
      <c r="G270" s="75" t="str">
        <f>IF(StatusBranchGrade[[#This Row],[Rank]] = StatusBranchGrade[[#This Row],[Grade]], StatusBranchGrade[[#This Row],[Rank]], StatusBranchGrade[[#This Row],[Grade]] &amp; "/" &amp; StatusBranchGrade[[#This Row],[Rank]]) &amp; ""</f>
        <v>O-1/O1E</v>
      </c>
      <c r="H27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O-1/O1E</v>
      </c>
      <c r="I270" s="17" t="str">
        <f>SUBSTITUTE(SUBSTITUTE(SUBSTITUTE(StatusBranchGrade[[#This Row],[Status]] &amp; "  /  " &amp; StatusBranchGrade[[#This Row],[Branch]] &amp; ";", "  /  ;", ";"), "  /  ;", ";"), ";", "")</f>
        <v>Active Duty  /  Marines</v>
      </c>
      <c r="J270">
        <v>12</v>
      </c>
      <c r="K270" s="17" t="str">
        <f>IF(LEFT(StatusBranchGrade[[#This Row],[Which]], 1) = "1", StatusBranchGrade[[#This Row],[Key]], "")</f>
        <v>Active Duty  /  Marines  /  O-1/O1E</v>
      </c>
      <c r="L270" s="17" t="str">
        <f>IF(LEFT(StatusBranchGrade[[#This Row],[Which]], 1) = "1", StatusBranchGrade[[#This Row],[Key0]], "")</f>
        <v>Active Duty  /  Marines</v>
      </c>
      <c r="M270" s="17" t="str">
        <f>IF(RIGHT(StatusBranchGrade[[#This Row],[Which]], 1) = "2", StatusBranchGrade[[#This Row],[Key]], "")</f>
        <v>Active Duty  /  Marines  /  O-1/O1E</v>
      </c>
      <c r="N270" s="17" t="str">
        <f>IF(RIGHT(StatusBranchGrade[[#This Row],[Which]], 1) = "2", StatusBranchGrade[[#This Row],[Key0]], "")</f>
        <v>Active Duty  /  Marines</v>
      </c>
      <c r="O270" s="17" t="s">
        <v>296</v>
      </c>
      <c r="P270" s="17"/>
      <c r="Q270" s="63">
        <f>--ISNUMBER(IF(StatusBranchGrade[[#This Row],[Sponsor0]] = 'Calculation Worksheet'!$AV$6 &amp; "  /  " &amp; 'Calculation Worksheet'!$AV$7, 1, ""))</f>
        <v>0</v>
      </c>
      <c r="R270" s="63" t="str">
        <f>IF(StatusBranchGrade[[#This Row],[S1]] = 1, COUNTIF($Q$3:Q270, 1), "")</f>
        <v/>
      </c>
      <c r="S270" s="63" t="str">
        <f>IFERROR(INDEX(StatusBranchGrade[Rank/Grade], MATCH(ROWS($R$3:R270)-1, StatusBranchGrade[S2], 0)), "") &amp; ""</f>
        <v/>
      </c>
      <c r="T270" s="63">
        <f>--ISNUMBER(IF(StatusBranchGrade[[#This Row],[Spouse0]] = 'Calculation Worksheet'!$CG$6 &amp; "  /  " &amp; 'Calculation Worksheet'!$CG$7, 1, ""))</f>
        <v>0</v>
      </c>
      <c r="U270" s="63" t="str">
        <f>IF(StatusBranchGrade[[#This Row],[T1]] = 1, COUNTIF($T$3:T270, 1), "")</f>
        <v/>
      </c>
      <c r="V270" s="63" t="str">
        <f>IFERROR(INDEX(StatusBranchGrade[Rank/Grade], MATCH(ROWS($U$3:U270)-1, StatusBranchGrade[T2], 0)), "") &amp; ""</f>
        <v/>
      </c>
      <c r="W270" s="63"/>
    </row>
    <row r="271" spans="1:23" x14ac:dyDescent="0.25">
      <c r="A271">
        <v>5</v>
      </c>
      <c r="B271" t="s">
        <v>216</v>
      </c>
      <c r="C271" t="s">
        <v>181</v>
      </c>
      <c r="D271" t="s">
        <v>82</v>
      </c>
      <c r="E271" t="str">
        <f>IF(StatusBranchGrade[[#This Row],[Status]] = "CYS", "DoD", StatusBranchGrade[[#This Row],[Rank]] &amp; "")</f>
        <v>O-10</v>
      </c>
      <c r="F271" t="s">
        <v>82</v>
      </c>
      <c r="G271" t="str">
        <f>IF(StatusBranchGrade[[#This Row],[Rank]] = StatusBranchGrade[[#This Row],[Grade]], StatusBranchGrade[[#This Row],[Rank]], StatusBranchGrade[[#This Row],[Grade]] &amp; "/" &amp; StatusBranchGrade[[#This Row],[Rank]]) &amp; ""</f>
        <v>O-10</v>
      </c>
      <c r="H27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O-10</v>
      </c>
      <c r="I271" s="17" t="str">
        <f>SUBSTITUTE(SUBSTITUTE(SUBSTITUTE(StatusBranchGrade[[#This Row],[Status]] &amp; "  /  " &amp; StatusBranchGrade[[#This Row],[Branch]] &amp; ";", "  /  ;", ";"), "  /  ;", ";"), ";", "")</f>
        <v>Active Duty  /  Marines</v>
      </c>
      <c r="J271">
        <v>12</v>
      </c>
      <c r="K271" s="17" t="str">
        <f>IF(LEFT(StatusBranchGrade[[#This Row],[Which]], 1) = "1", StatusBranchGrade[[#This Row],[Key]], "")</f>
        <v>Active Duty  /  Marines  /  O-10</v>
      </c>
      <c r="L271" s="17" t="str">
        <f>IF(LEFT(StatusBranchGrade[[#This Row],[Which]], 1) = "1", StatusBranchGrade[[#This Row],[Key0]], "")</f>
        <v>Active Duty  /  Marines</v>
      </c>
      <c r="M271" s="17" t="str">
        <f>IF(RIGHT(StatusBranchGrade[[#This Row],[Which]], 1) = "2", StatusBranchGrade[[#This Row],[Key]], "")</f>
        <v>Active Duty  /  Marines  /  O-10</v>
      </c>
      <c r="N271" s="17" t="str">
        <f>IF(RIGHT(StatusBranchGrade[[#This Row],[Which]], 1) = "2", StatusBranchGrade[[#This Row],[Key0]], "")</f>
        <v>Active Duty  /  Marines</v>
      </c>
      <c r="O271" s="17" t="s">
        <v>296</v>
      </c>
      <c r="P271" s="17"/>
      <c r="Q271" s="63">
        <f>--ISNUMBER(IF(StatusBranchGrade[[#This Row],[Sponsor0]] = 'Calculation Worksheet'!$AV$6 &amp; "  /  " &amp; 'Calculation Worksheet'!$AV$7, 1, ""))</f>
        <v>0</v>
      </c>
      <c r="R271" s="63" t="str">
        <f>IF(StatusBranchGrade[[#This Row],[S1]] = 1, COUNTIF($Q$3:Q271, 1), "")</f>
        <v/>
      </c>
      <c r="S271" s="63" t="str">
        <f>IFERROR(INDEX(StatusBranchGrade[Rank/Grade], MATCH(ROWS($R$3:R271)-1, StatusBranchGrade[S2], 0)), "") &amp; ""</f>
        <v/>
      </c>
      <c r="T271" s="63">
        <f>--ISNUMBER(IF(StatusBranchGrade[[#This Row],[Spouse0]] = 'Calculation Worksheet'!$CG$6 &amp; "  /  " &amp; 'Calculation Worksheet'!$CG$7, 1, ""))</f>
        <v>0</v>
      </c>
      <c r="U271" s="63" t="str">
        <f>IF(StatusBranchGrade[[#This Row],[T1]] = 1, COUNTIF($T$3:T271, 1), "")</f>
        <v/>
      </c>
      <c r="V271" s="63" t="str">
        <f>IFERROR(INDEX(StatusBranchGrade[Rank/Grade], MATCH(ROWS($U$3:U271)-1, StatusBranchGrade[T2], 0)), "") &amp; ""</f>
        <v/>
      </c>
      <c r="W271" s="63"/>
    </row>
    <row r="272" spans="1:23" x14ac:dyDescent="0.25">
      <c r="A272">
        <v>5</v>
      </c>
      <c r="B272" t="s">
        <v>216</v>
      </c>
      <c r="C272" t="s">
        <v>181</v>
      </c>
      <c r="D272" t="s">
        <v>90</v>
      </c>
      <c r="E272" t="str">
        <f>IF(StatusBranchGrade[[#This Row],[Status]] = "CYS", "DoD", StatusBranchGrade[[#This Row],[Rank]] &amp; "")</f>
        <v>O-2</v>
      </c>
      <c r="F272" t="s">
        <v>90</v>
      </c>
      <c r="G272" t="str">
        <f>IF(StatusBranchGrade[[#This Row],[Rank]] = StatusBranchGrade[[#This Row],[Grade]], StatusBranchGrade[[#This Row],[Rank]], StatusBranchGrade[[#This Row],[Grade]] &amp; "/" &amp; StatusBranchGrade[[#This Row],[Rank]]) &amp; ""</f>
        <v>O-2</v>
      </c>
      <c r="H27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O-2</v>
      </c>
      <c r="I272" s="17" t="str">
        <f>SUBSTITUTE(SUBSTITUTE(SUBSTITUTE(StatusBranchGrade[[#This Row],[Status]] &amp; "  /  " &amp; StatusBranchGrade[[#This Row],[Branch]] &amp; ";", "  /  ;", ";"), "  /  ;", ";"), ";", "")</f>
        <v>Active Duty  /  Marines</v>
      </c>
      <c r="J272">
        <v>12</v>
      </c>
      <c r="K272" s="17" t="str">
        <f>IF(LEFT(StatusBranchGrade[[#This Row],[Which]], 1) = "1", StatusBranchGrade[[#This Row],[Key]], "")</f>
        <v>Active Duty  /  Marines  /  O-2</v>
      </c>
      <c r="L272" s="17" t="str">
        <f>IF(LEFT(StatusBranchGrade[[#This Row],[Which]], 1) = "1", StatusBranchGrade[[#This Row],[Key0]], "")</f>
        <v>Active Duty  /  Marines</v>
      </c>
      <c r="M272" s="17" t="str">
        <f>IF(RIGHT(StatusBranchGrade[[#This Row],[Which]], 1) = "2", StatusBranchGrade[[#This Row],[Key]], "")</f>
        <v>Active Duty  /  Marines  /  O-2</v>
      </c>
      <c r="N272" s="17" t="str">
        <f>IF(RIGHT(StatusBranchGrade[[#This Row],[Which]], 1) = "2", StatusBranchGrade[[#This Row],[Key0]], "")</f>
        <v>Active Duty  /  Marines</v>
      </c>
      <c r="O272" s="17" t="s">
        <v>296</v>
      </c>
      <c r="P272" s="17"/>
      <c r="Q272" s="63">
        <f>--ISNUMBER(IF(StatusBranchGrade[[#This Row],[Sponsor0]] = 'Calculation Worksheet'!$AV$6 &amp; "  /  " &amp; 'Calculation Worksheet'!$AV$7, 1, ""))</f>
        <v>0</v>
      </c>
      <c r="R272" s="63" t="str">
        <f>IF(StatusBranchGrade[[#This Row],[S1]] = 1, COUNTIF($Q$3:Q272, 1), "")</f>
        <v/>
      </c>
      <c r="S272" s="63" t="str">
        <f>IFERROR(INDEX(StatusBranchGrade[Rank/Grade], MATCH(ROWS($R$3:R272)-1, StatusBranchGrade[S2], 0)), "") &amp; ""</f>
        <v/>
      </c>
      <c r="T272" s="63">
        <f>--ISNUMBER(IF(StatusBranchGrade[[#This Row],[Spouse0]] = 'Calculation Worksheet'!$CG$6 &amp; "  /  " &amp; 'Calculation Worksheet'!$CG$7, 1, ""))</f>
        <v>0</v>
      </c>
      <c r="U272" s="63" t="str">
        <f>IF(StatusBranchGrade[[#This Row],[T1]] = 1, COUNTIF($T$3:T272, 1), "")</f>
        <v/>
      </c>
      <c r="V272" s="63" t="str">
        <f>IFERROR(INDEX(StatusBranchGrade[Rank/Grade], MATCH(ROWS($U$3:U272)-1, StatusBranchGrade[T2], 0)), "") &amp; ""</f>
        <v/>
      </c>
      <c r="W272" s="63"/>
    </row>
    <row r="273" spans="1:23" x14ac:dyDescent="0.25">
      <c r="A273">
        <v>5</v>
      </c>
      <c r="B273" t="s">
        <v>216</v>
      </c>
      <c r="C273" t="s">
        <v>181</v>
      </c>
      <c r="D273" s="75" t="s">
        <v>11</v>
      </c>
      <c r="E273" s="75" t="str">
        <f>IF(StatusBranchGrade[[#This Row],[Status]] = "CYS", "DoD", StatusBranchGrade[[#This Row],[Rank]] &amp; "")</f>
        <v>O2E</v>
      </c>
      <c r="F273" s="75" t="s">
        <v>90</v>
      </c>
      <c r="G273" s="75" t="str">
        <f>IF(StatusBranchGrade[[#This Row],[Rank]] = StatusBranchGrade[[#This Row],[Grade]], StatusBranchGrade[[#This Row],[Rank]], StatusBranchGrade[[#This Row],[Grade]] &amp; "/" &amp; StatusBranchGrade[[#This Row],[Rank]]) &amp; ""</f>
        <v>O-2/O2E</v>
      </c>
      <c r="H27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O-2/O2E</v>
      </c>
      <c r="I273" s="17" t="str">
        <f>SUBSTITUTE(SUBSTITUTE(SUBSTITUTE(StatusBranchGrade[[#This Row],[Status]] &amp; "  /  " &amp; StatusBranchGrade[[#This Row],[Branch]] &amp; ";", "  /  ;", ";"), "  /  ;", ";"), ";", "")</f>
        <v>Active Duty  /  Marines</v>
      </c>
      <c r="J273">
        <v>12</v>
      </c>
      <c r="K273" s="17" t="str">
        <f>IF(LEFT(StatusBranchGrade[[#This Row],[Which]], 1) = "1", StatusBranchGrade[[#This Row],[Key]], "")</f>
        <v>Active Duty  /  Marines  /  O-2/O2E</v>
      </c>
      <c r="L273" s="17" t="str">
        <f>IF(LEFT(StatusBranchGrade[[#This Row],[Which]], 1) = "1", StatusBranchGrade[[#This Row],[Key0]], "")</f>
        <v>Active Duty  /  Marines</v>
      </c>
      <c r="M273" s="17" t="str">
        <f>IF(RIGHT(StatusBranchGrade[[#This Row],[Which]], 1) = "2", StatusBranchGrade[[#This Row],[Key]], "")</f>
        <v>Active Duty  /  Marines  /  O-2/O2E</v>
      </c>
      <c r="N273" s="17" t="str">
        <f>IF(RIGHT(StatusBranchGrade[[#This Row],[Which]], 1) = "2", StatusBranchGrade[[#This Row],[Key0]], "")</f>
        <v>Active Duty  /  Marines</v>
      </c>
      <c r="O273" s="17" t="s">
        <v>296</v>
      </c>
      <c r="P273" s="17"/>
      <c r="Q273" s="63">
        <f>--ISNUMBER(IF(StatusBranchGrade[[#This Row],[Sponsor0]] = 'Calculation Worksheet'!$AV$6 &amp; "  /  " &amp; 'Calculation Worksheet'!$AV$7, 1, ""))</f>
        <v>0</v>
      </c>
      <c r="R273" s="63" t="str">
        <f>IF(StatusBranchGrade[[#This Row],[S1]] = 1, COUNTIF($Q$3:Q273, 1), "")</f>
        <v/>
      </c>
      <c r="S273" s="63" t="str">
        <f>IFERROR(INDEX(StatusBranchGrade[Rank/Grade], MATCH(ROWS($R$3:R273)-1, StatusBranchGrade[S2], 0)), "") &amp; ""</f>
        <v/>
      </c>
      <c r="T273" s="63">
        <f>--ISNUMBER(IF(StatusBranchGrade[[#This Row],[Spouse0]] = 'Calculation Worksheet'!$CG$6 &amp; "  /  " &amp; 'Calculation Worksheet'!$CG$7, 1, ""))</f>
        <v>0</v>
      </c>
      <c r="U273" s="63" t="str">
        <f>IF(StatusBranchGrade[[#This Row],[T1]] = 1, COUNTIF($T$3:T273, 1), "")</f>
        <v/>
      </c>
      <c r="V273" s="63" t="str">
        <f>IFERROR(INDEX(StatusBranchGrade[Rank/Grade], MATCH(ROWS($U$3:U273)-1, StatusBranchGrade[T2], 0)), "") &amp; ""</f>
        <v/>
      </c>
      <c r="W273" s="63"/>
    </row>
    <row r="274" spans="1:23" x14ac:dyDescent="0.25">
      <c r="A274">
        <v>5</v>
      </c>
      <c r="B274" t="s">
        <v>216</v>
      </c>
      <c r="C274" t="s">
        <v>181</v>
      </c>
      <c r="D274" t="s">
        <v>89</v>
      </c>
      <c r="E274" t="str">
        <f>IF(StatusBranchGrade[[#This Row],[Status]] = "CYS", "DoD", StatusBranchGrade[[#This Row],[Rank]] &amp; "")</f>
        <v>O-3</v>
      </c>
      <c r="F274" t="s">
        <v>89</v>
      </c>
      <c r="G274" t="str">
        <f>IF(StatusBranchGrade[[#This Row],[Rank]] = StatusBranchGrade[[#This Row],[Grade]], StatusBranchGrade[[#This Row],[Rank]], StatusBranchGrade[[#This Row],[Grade]] &amp; "/" &amp; StatusBranchGrade[[#This Row],[Rank]]) &amp; ""</f>
        <v>O-3</v>
      </c>
      <c r="H27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O-3</v>
      </c>
      <c r="I274" s="17" t="str">
        <f>SUBSTITUTE(SUBSTITUTE(SUBSTITUTE(StatusBranchGrade[[#This Row],[Status]] &amp; "  /  " &amp; StatusBranchGrade[[#This Row],[Branch]] &amp; ";", "  /  ;", ";"), "  /  ;", ";"), ";", "")</f>
        <v>Active Duty  /  Marines</v>
      </c>
      <c r="J274">
        <v>12</v>
      </c>
      <c r="K274" s="17" t="str">
        <f>IF(LEFT(StatusBranchGrade[[#This Row],[Which]], 1) = "1", StatusBranchGrade[[#This Row],[Key]], "")</f>
        <v>Active Duty  /  Marines  /  O-3</v>
      </c>
      <c r="L274" s="17" t="str">
        <f>IF(LEFT(StatusBranchGrade[[#This Row],[Which]], 1) = "1", StatusBranchGrade[[#This Row],[Key0]], "")</f>
        <v>Active Duty  /  Marines</v>
      </c>
      <c r="M274" s="17" t="str">
        <f>IF(RIGHT(StatusBranchGrade[[#This Row],[Which]], 1) = "2", StatusBranchGrade[[#This Row],[Key]], "")</f>
        <v>Active Duty  /  Marines  /  O-3</v>
      </c>
      <c r="N274" s="17" t="str">
        <f>IF(RIGHT(StatusBranchGrade[[#This Row],[Which]], 1) = "2", StatusBranchGrade[[#This Row],[Key0]], "")</f>
        <v>Active Duty  /  Marines</v>
      </c>
      <c r="O274" s="17" t="s">
        <v>296</v>
      </c>
      <c r="P274" s="17"/>
      <c r="Q274" s="63">
        <f>--ISNUMBER(IF(StatusBranchGrade[[#This Row],[Sponsor0]] = 'Calculation Worksheet'!$AV$6 &amp; "  /  " &amp; 'Calculation Worksheet'!$AV$7, 1, ""))</f>
        <v>0</v>
      </c>
      <c r="R274" s="63" t="str">
        <f>IF(StatusBranchGrade[[#This Row],[S1]] = 1, COUNTIF($Q$3:Q274, 1), "")</f>
        <v/>
      </c>
      <c r="S274" s="63" t="str">
        <f>IFERROR(INDEX(StatusBranchGrade[Rank/Grade], MATCH(ROWS($R$3:R274)-1, StatusBranchGrade[S2], 0)), "") &amp; ""</f>
        <v/>
      </c>
      <c r="T274" s="63">
        <f>--ISNUMBER(IF(StatusBranchGrade[[#This Row],[Spouse0]] = 'Calculation Worksheet'!$CG$6 &amp; "  /  " &amp; 'Calculation Worksheet'!$CG$7, 1, ""))</f>
        <v>0</v>
      </c>
      <c r="U274" s="63" t="str">
        <f>IF(StatusBranchGrade[[#This Row],[T1]] = 1, COUNTIF($T$3:T274, 1), "")</f>
        <v/>
      </c>
      <c r="V274" s="63" t="str">
        <f>IFERROR(INDEX(StatusBranchGrade[Rank/Grade], MATCH(ROWS($U$3:U274)-1, StatusBranchGrade[T2], 0)), "") &amp; ""</f>
        <v/>
      </c>
      <c r="W274" s="63"/>
    </row>
    <row r="275" spans="1:23" x14ac:dyDescent="0.25">
      <c r="A275">
        <v>5</v>
      </c>
      <c r="B275" t="s">
        <v>216</v>
      </c>
      <c r="C275" t="s">
        <v>181</v>
      </c>
      <c r="D275" s="75" t="s">
        <v>12</v>
      </c>
      <c r="E275" s="75" t="str">
        <f>IF(StatusBranchGrade[[#This Row],[Status]] = "CYS", "DoD", StatusBranchGrade[[#This Row],[Rank]] &amp; "")</f>
        <v>O3E</v>
      </c>
      <c r="F275" s="75" t="s">
        <v>89</v>
      </c>
      <c r="G275" s="75" t="str">
        <f>IF(StatusBranchGrade[[#This Row],[Rank]] = StatusBranchGrade[[#This Row],[Grade]], StatusBranchGrade[[#This Row],[Rank]], StatusBranchGrade[[#This Row],[Grade]] &amp; "/" &amp; StatusBranchGrade[[#This Row],[Rank]]) &amp; ""</f>
        <v>O-3/O3E</v>
      </c>
      <c r="H27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O-3/O3E</v>
      </c>
      <c r="I275" s="17" t="str">
        <f>SUBSTITUTE(SUBSTITUTE(SUBSTITUTE(StatusBranchGrade[[#This Row],[Status]] &amp; "  /  " &amp; StatusBranchGrade[[#This Row],[Branch]] &amp; ";", "  /  ;", ";"), "  /  ;", ";"), ";", "")</f>
        <v>Active Duty  /  Marines</v>
      </c>
      <c r="J275">
        <v>12</v>
      </c>
      <c r="K275" s="17" t="str">
        <f>IF(LEFT(StatusBranchGrade[[#This Row],[Which]], 1) = "1", StatusBranchGrade[[#This Row],[Key]], "")</f>
        <v>Active Duty  /  Marines  /  O-3/O3E</v>
      </c>
      <c r="L275" s="17" t="str">
        <f>IF(LEFT(StatusBranchGrade[[#This Row],[Which]], 1) = "1", StatusBranchGrade[[#This Row],[Key0]], "")</f>
        <v>Active Duty  /  Marines</v>
      </c>
      <c r="M275" s="17" t="str">
        <f>IF(RIGHT(StatusBranchGrade[[#This Row],[Which]], 1) = "2", StatusBranchGrade[[#This Row],[Key]], "")</f>
        <v>Active Duty  /  Marines  /  O-3/O3E</v>
      </c>
      <c r="N275" s="17" t="str">
        <f>IF(RIGHT(StatusBranchGrade[[#This Row],[Which]], 1) = "2", StatusBranchGrade[[#This Row],[Key0]], "")</f>
        <v>Active Duty  /  Marines</v>
      </c>
      <c r="O275" s="17" t="s">
        <v>296</v>
      </c>
      <c r="P275" s="17"/>
      <c r="Q275" s="63">
        <f>--ISNUMBER(IF(StatusBranchGrade[[#This Row],[Sponsor0]] = 'Calculation Worksheet'!$AV$6 &amp; "  /  " &amp; 'Calculation Worksheet'!$AV$7, 1, ""))</f>
        <v>0</v>
      </c>
      <c r="R275" s="63" t="str">
        <f>IF(StatusBranchGrade[[#This Row],[S1]] = 1, COUNTIF($Q$3:Q275, 1), "")</f>
        <v/>
      </c>
      <c r="S275" s="63" t="str">
        <f>IFERROR(INDEX(StatusBranchGrade[Rank/Grade], MATCH(ROWS($R$3:R275)-1, StatusBranchGrade[S2], 0)), "") &amp; ""</f>
        <v/>
      </c>
      <c r="T275" s="63">
        <f>--ISNUMBER(IF(StatusBranchGrade[[#This Row],[Spouse0]] = 'Calculation Worksheet'!$CG$6 &amp; "  /  " &amp; 'Calculation Worksheet'!$CG$7, 1, ""))</f>
        <v>0</v>
      </c>
      <c r="U275" s="63" t="str">
        <f>IF(StatusBranchGrade[[#This Row],[T1]] = 1, COUNTIF($T$3:T275, 1), "")</f>
        <v/>
      </c>
      <c r="V275" s="63" t="str">
        <f>IFERROR(INDEX(StatusBranchGrade[Rank/Grade], MATCH(ROWS($U$3:U275)-1, StatusBranchGrade[T2], 0)), "") &amp; ""</f>
        <v/>
      </c>
      <c r="W275" s="63"/>
    </row>
    <row r="276" spans="1:23" x14ac:dyDescent="0.25">
      <c r="A276">
        <v>5</v>
      </c>
      <c r="B276" t="s">
        <v>216</v>
      </c>
      <c r="C276" t="s">
        <v>181</v>
      </c>
      <c r="D276" t="s">
        <v>88</v>
      </c>
      <c r="E276" t="str">
        <f>IF(StatusBranchGrade[[#This Row],[Status]] = "CYS", "DoD", StatusBranchGrade[[#This Row],[Rank]] &amp; "")</f>
        <v>O-4</v>
      </c>
      <c r="F276" t="s">
        <v>88</v>
      </c>
      <c r="G276" t="str">
        <f>IF(StatusBranchGrade[[#This Row],[Rank]] = StatusBranchGrade[[#This Row],[Grade]], StatusBranchGrade[[#This Row],[Rank]], StatusBranchGrade[[#This Row],[Grade]] &amp; "/" &amp; StatusBranchGrade[[#This Row],[Rank]]) &amp; ""</f>
        <v>O-4</v>
      </c>
      <c r="H27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O-4</v>
      </c>
      <c r="I276" s="17" t="str">
        <f>SUBSTITUTE(SUBSTITUTE(SUBSTITUTE(StatusBranchGrade[[#This Row],[Status]] &amp; "  /  " &amp; StatusBranchGrade[[#This Row],[Branch]] &amp; ";", "  /  ;", ";"), "  /  ;", ";"), ";", "")</f>
        <v>Active Duty  /  Marines</v>
      </c>
      <c r="J276">
        <v>12</v>
      </c>
      <c r="K276" s="17" t="str">
        <f>IF(LEFT(StatusBranchGrade[[#This Row],[Which]], 1) = "1", StatusBranchGrade[[#This Row],[Key]], "")</f>
        <v>Active Duty  /  Marines  /  O-4</v>
      </c>
      <c r="L276" s="17" t="str">
        <f>IF(LEFT(StatusBranchGrade[[#This Row],[Which]], 1) = "1", StatusBranchGrade[[#This Row],[Key0]], "")</f>
        <v>Active Duty  /  Marines</v>
      </c>
      <c r="M276" s="17" t="str">
        <f>IF(RIGHT(StatusBranchGrade[[#This Row],[Which]], 1) = "2", StatusBranchGrade[[#This Row],[Key]], "")</f>
        <v>Active Duty  /  Marines  /  O-4</v>
      </c>
      <c r="N276" s="17" t="str">
        <f>IF(RIGHT(StatusBranchGrade[[#This Row],[Which]], 1) = "2", StatusBranchGrade[[#This Row],[Key0]], "")</f>
        <v>Active Duty  /  Marines</v>
      </c>
      <c r="O276" s="17" t="s">
        <v>296</v>
      </c>
      <c r="P276" s="17"/>
      <c r="Q276" s="63">
        <f>--ISNUMBER(IF(StatusBranchGrade[[#This Row],[Sponsor0]] = 'Calculation Worksheet'!$AV$6 &amp; "  /  " &amp; 'Calculation Worksheet'!$AV$7, 1, ""))</f>
        <v>0</v>
      </c>
      <c r="R276" s="63" t="str">
        <f>IF(StatusBranchGrade[[#This Row],[S1]] = 1, COUNTIF($Q$3:Q276, 1), "")</f>
        <v/>
      </c>
      <c r="S276" s="63" t="str">
        <f>IFERROR(INDEX(StatusBranchGrade[Rank/Grade], MATCH(ROWS($R$3:R276)-1, StatusBranchGrade[S2], 0)), "") &amp; ""</f>
        <v/>
      </c>
      <c r="T276" s="63">
        <f>--ISNUMBER(IF(StatusBranchGrade[[#This Row],[Spouse0]] = 'Calculation Worksheet'!$CG$6 &amp; "  /  " &amp; 'Calculation Worksheet'!$CG$7, 1, ""))</f>
        <v>0</v>
      </c>
      <c r="U276" s="63" t="str">
        <f>IF(StatusBranchGrade[[#This Row],[T1]] = 1, COUNTIF($T$3:T276, 1), "")</f>
        <v/>
      </c>
      <c r="V276" s="63" t="str">
        <f>IFERROR(INDEX(StatusBranchGrade[Rank/Grade], MATCH(ROWS($U$3:U276)-1, StatusBranchGrade[T2], 0)), "") &amp; ""</f>
        <v/>
      </c>
      <c r="W276" s="63"/>
    </row>
    <row r="277" spans="1:23" x14ac:dyDescent="0.25">
      <c r="A277">
        <v>5</v>
      </c>
      <c r="B277" t="s">
        <v>216</v>
      </c>
      <c r="C277" t="s">
        <v>181</v>
      </c>
      <c r="D277" t="s">
        <v>87</v>
      </c>
      <c r="E277" t="str">
        <f>IF(StatusBranchGrade[[#This Row],[Status]] = "CYS", "DoD", StatusBranchGrade[[#This Row],[Rank]] &amp; "")</f>
        <v>O-5</v>
      </c>
      <c r="F277" t="s">
        <v>87</v>
      </c>
      <c r="G277" t="str">
        <f>IF(StatusBranchGrade[[#This Row],[Rank]] = StatusBranchGrade[[#This Row],[Grade]], StatusBranchGrade[[#This Row],[Rank]], StatusBranchGrade[[#This Row],[Grade]] &amp; "/" &amp; StatusBranchGrade[[#This Row],[Rank]]) &amp; ""</f>
        <v>O-5</v>
      </c>
      <c r="H27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O-5</v>
      </c>
      <c r="I277" s="17" t="str">
        <f>SUBSTITUTE(SUBSTITUTE(SUBSTITUTE(StatusBranchGrade[[#This Row],[Status]] &amp; "  /  " &amp; StatusBranchGrade[[#This Row],[Branch]] &amp; ";", "  /  ;", ";"), "  /  ;", ";"), ";", "")</f>
        <v>Active Duty  /  Marines</v>
      </c>
      <c r="J277">
        <v>12</v>
      </c>
      <c r="K277" s="17" t="str">
        <f>IF(LEFT(StatusBranchGrade[[#This Row],[Which]], 1) = "1", StatusBranchGrade[[#This Row],[Key]], "")</f>
        <v>Active Duty  /  Marines  /  O-5</v>
      </c>
      <c r="L277" s="17" t="str">
        <f>IF(LEFT(StatusBranchGrade[[#This Row],[Which]], 1) = "1", StatusBranchGrade[[#This Row],[Key0]], "")</f>
        <v>Active Duty  /  Marines</v>
      </c>
      <c r="M277" s="17" t="str">
        <f>IF(RIGHT(StatusBranchGrade[[#This Row],[Which]], 1) = "2", StatusBranchGrade[[#This Row],[Key]], "")</f>
        <v>Active Duty  /  Marines  /  O-5</v>
      </c>
      <c r="N277" s="17" t="str">
        <f>IF(RIGHT(StatusBranchGrade[[#This Row],[Which]], 1) = "2", StatusBranchGrade[[#This Row],[Key0]], "")</f>
        <v>Active Duty  /  Marines</v>
      </c>
      <c r="O277" s="17" t="s">
        <v>296</v>
      </c>
      <c r="P277" s="17"/>
      <c r="Q277" s="63">
        <f>--ISNUMBER(IF(StatusBranchGrade[[#This Row],[Sponsor0]] = 'Calculation Worksheet'!$AV$6 &amp; "  /  " &amp; 'Calculation Worksheet'!$AV$7, 1, ""))</f>
        <v>0</v>
      </c>
      <c r="R277" s="63" t="str">
        <f>IF(StatusBranchGrade[[#This Row],[S1]] = 1, COUNTIF($Q$3:Q277, 1), "")</f>
        <v/>
      </c>
      <c r="S277" s="63" t="str">
        <f>IFERROR(INDEX(StatusBranchGrade[Rank/Grade], MATCH(ROWS($R$3:R277)-1, StatusBranchGrade[S2], 0)), "") &amp; ""</f>
        <v/>
      </c>
      <c r="T277" s="63">
        <f>--ISNUMBER(IF(StatusBranchGrade[[#This Row],[Spouse0]] = 'Calculation Worksheet'!$CG$6 &amp; "  /  " &amp; 'Calculation Worksheet'!$CG$7, 1, ""))</f>
        <v>0</v>
      </c>
      <c r="U277" s="63" t="str">
        <f>IF(StatusBranchGrade[[#This Row],[T1]] = 1, COUNTIF($T$3:T277, 1), "")</f>
        <v/>
      </c>
      <c r="V277" s="63" t="str">
        <f>IFERROR(INDEX(StatusBranchGrade[Rank/Grade], MATCH(ROWS($U$3:U277)-1, StatusBranchGrade[T2], 0)), "") &amp; ""</f>
        <v/>
      </c>
      <c r="W277" s="63"/>
    </row>
    <row r="278" spans="1:23" x14ac:dyDescent="0.25">
      <c r="A278">
        <v>5</v>
      </c>
      <c r="B278" t="s">
        <v>216</v>
      </c>
      <c r="C278" t="s">
        <v>181</v>
      </c>
      <c r="D278" t="s">
        <v>86</v>
      </c>
      <c r="E278" t="str">
        <f>IF(StatusBranchGrade[[#This Row],[Status]] = "CYS", "DoD", StatusBranchGrade[[#This Row],[Rank]] &amp; "")</f>
        <v>O-6</v>
      </c>
      <c r="F278" t="s">
        <v>86</v>
      </c>
      <c r="G278" t="str">
        <f>IF(StatusBranchGrade[[#This Row],[Rank]] = StatusBranchGrade[[#This Row],[Grade]], StatusBranchGrade[[#This Row],[Rank]], StatusBranchGrade[[#This Row],[Grade]] &amp; "/" &amp; StatusBranchGrade[[#This Row],[Rank]]) &amp; ""</f>
        <v>O-6</v>
      </c>
      <c r="H27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O-6</v>
      </c>
      <c r="I278" s="17" t="str">
        <f>SUBSTITUTE(SUBSTITUTE(SUBSTITUTE(StatusBranchGrade[[#This Row],[Status]] &amp; "  /  " &amp; StatusBranchGrade[[#This Row],[Branch]] &amp; ";", "  /  ;", ";"), "  /  ;", ";"), ";", "")</f>
        <v>Active Duty  /  Marines</v>
      </c>
      <c r="J278">
        <v>12</v>
      </c>
      <c r="K278" s="17" t="str">
        <f>IF(LEFT(StatusBranchGrade[[#This Row],[Which]], 1) = "1", StatusBranchGrade[[#This Row],[Key]], "")</f>
        <v>Active Duty  /  Marines  /  O-6</v>
      </c>
      <c r="L278" s="17" t="str">
        <f>IF(LEFT(StatusBranchGrade[[#This Row],[Which]], 1) = "1", StatusBranchGrade[[#This Row],[Key0]], "")</f>
        <v>Active Duty  /  Marines</v>
      </c>
      <c r="M278" s="17" t="str">
        <f>IF(RIGHT(StatusBranchGrade[[#This Row],[Which]], 1) = "2", StatusBranchGrade[[#This Row],[Key]], "")</f>
        <v>Active Duty  /  Marines  /  O-6</v>
      </c>
      <c r="N278" s="17" t="str">
        <f>IF(RIGHT(StatusBranchGrade[[#This Row],[Which]], 1) = "2", StatusBranchGrade[[#This Row],[Key0]], "")</f>
        <v>Active Duty  /  Marines</v>
      </c>
      <c r="O278" s="17" t="s">
        <v>296</v>
      </c>
      <c r="P278" s="17"/>
      <c r="Q278" s="63">
        <f>--ISNUMBER(IF(StatusBranchGrade[[#This Row],[Sponsor0]] = 'Calculation Worksheet'!$AV$6 &amp; "  /  " &amp; 'Calculation Worksheet'!$AV$7, 1, ""))</f>
        <v>0</v>
      </c>
      <c r="R278" s="63" t="str">
        <f>IF(StatusBranchGrade[[#This Row],[S1]] = 1, COUNTIF($Q$3:Q278, 1), "")</f>
        <v/>
      </c>
      <c r="S278" s="63" t="str">
        <f>IFERROR(INDEX(StatusBranchGrade[Rank/Grade], MATCH(ROWS($R$3:R278)-1, StatusBranchGrade[S2], 0)), "") &amp; ""</f>
        <v/>
      </c>
      <c r="T278" s="63">
        <f>--ISNUMBER(IF(StatusBranchGrade[[#This Row],[Spouse0]] = 'Calculation Worksheet'!$CG$6 &amp; "  /  " &amp; 'Calculation Worksheet'!$CG$7, 1, ""))</f>
        <v>0</v>
      </c>
      <c r="U278" s="63" t="str">
        <f>IF(StatusBranchGrade[[#This Row],[T1]] = 1, COUNTIF($T$3:T278, 1), "")</f>
        <v/>
      </c>
      <c r="V278" s="63" t="str">
        <f>IFERROR(INDEX(StatusBranchGrade[Rank/Grade], MATCH(ROWS($U$3:U278)-1, StatusBranchGrade[T2], 0)), "") &amp; ""</f>
        <v/>
      </c>
      <c r="W278" s="63"/>
    </row>
    <row r="279" spans="1:23" x14ac:dyDescent="0.25">
      <c r="A279">
        <v>5</v>
      </c>
      <c r="B279" t="s">
        <v>216</v>
      </c>
      <c r="C279" t="s">
        <v>181</v>
      </c>
      <c r="D279" t="s">
        <v>85</v>
      </c>
      <c r="E279" t="str">
        <f>IF(StatusBranchGrade[[#This Row],[Status]] = "CYS", "DoD", StatusBranchGrade[[#This Row],[Rank]] &amp; "")</f>
        <v>O-7</v>
      </c>
      <c r="F279" t="s">
        <v>85</v>
      </c>
      <c r="G279" t="str">
        <f>IF(StatusBranchGrade[[#This Row],[Rank]] = StatusBranchGrade[[#This Row],[Grade]], StatusBranchGrade[[#This Row],[Rank]], StatusBranchGrade[[#This Row],[Grade]] &amp; "/" &amp; StatusBranchGrade[[#This Row],[Rank]]) &amp; ""</f>
        <v>O-7</v>
      </c>
      <c r="H27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O-7</v>
      </c>
      <c r="I279" s="17" t="str">
        <f>SUBSTITUTE(SUBSTITUTE(SUBSTITUTE(StatusBranchGrade[[#This Row],[Status]] &amp; "  /  " &amp; StatusBranchGrade[[#This Row],[Branch]] &amp; ";", "  /  ;", ";"), "  /  ;", ";"), ";", "")</f>
        <v>Active Duty  /  Marines</v>
      </c>
      <c r="J279">
        <v>12</v>
      </c>
      <c r="K279" s="17" t="str">
        <f>IF(LEFT(StatusBranchGrade[[#This Row],[Which]], 1) = "1", StatusBranchGrade[[#This Row],[Key]], "")</f>
        <v>Active Duty  /  Marines  /  O-7</v>
      </c>
      <c r="L279" s="17" t="str">
        <f>IF(LEFT(StatusBranchGrade[[#This Row],[Which]], 1) = "1", StatusBranchGrade[[#This Row],[Key0]], "")</f>
        <v>Active Duty  /  Marines</v>
      </c>
      <c r="M279" s="17" t="str">
        <f>IF(RIGHT(StatusBranchGrade[[#This Row],[Which]], 1) = "2", StatusBranchGrade[[#This Row],[Key]], "")</f>
        <v>Active Duty  /  Marines  /  O-7</v>
      </c>
      <c r="N279" s="17" t="str">
        <f>IF(RIGHT(StatusBranchGrade[[#This Row],[Which]], 1) = "2", StatusBranchGrade[[#This Row],[Key0]], "")</f>
        <v>Active Duty  /  Marines</v>
      </c>
      <c r="O279" s="17" t="s">
        <v>296</v>
      </c>
      <c r="P279" s="17"/>
      <c r="Q279" s="63">
        <f>--ISNUMBER(IF(StatusBranchGrade[[#This Row],[Sponsor0]] = 'Calculation Worksheet'!$AV$6 &amp; "  /  " &amp; 'Calculation Worksheet'!$AV$7, 1, ""))</f>
        <v>0</v>
      </c>
      <c r="R279" s="63" t="str">
        <f>IF(StatusBranchGrade[[#This Row],[S1]] = 1, COUNTIF($Q$3:Q279, 1), "")</f>
        <v/>
      </c>
      <c r="S279" s="63" t="str">
        <f>IFERROR(INDEX(StatusBranchGrade[Rank/Grade], MATCH(ROWS($R$3:R279)-1, StatusBranchGrade[S2], 0)), "") &amp; ""</f>
        <v/>
      </c>
      <c r="T279" s="63">
        <f>--ISNUMBER(IF(StatusBranchGrade[[#This Row],[Spouse0]] = 'Calculation Worksheet'!$CG$6 &amp; "  /  " &amp; 'Calculation Worksheet'!$CG$7, 1, ""))</f>
        <v>0</v>
      </c>
      <c r="U279" s="63" t="str">
        <f>IF(StatusBranchGrade[[#This Row],[T1]] = 1, COUNTIF($T$3:T279, 1), "")</f>
        <v/>
      </c>
      <c r="V279" s="63" t="str">
        <f>IFERROR(INDEX(StatusBranchGrade[Rank/Grade], MATCH(ROWS($U$3:U279)-1, StatusBranchGrade[T2], 0)), "") &amp; ""</f>
        <v/>
      </c>
      <c r="W279" s="63"/>
    </row>
    <row r="280" spans="1:23" x14ac:dyDescent="0.25">
      <c r="A280">
        <v>5</v>
      </c>
      <c r="B280" t="s">
        <v>216</v>
      </c>
      <c r="C280" t="s">
        <v>181</v>
      </c>
      <c r="D280" t="s">
        <v>84</v>
      </c>
      <c r="E280" t="str">
        <f>IF(StatusBranchGrade[[#This Row],[Status]] = "CYS", "DoD", StatusBranchGrade[[#This Row],[Rank]] &amp; "")</f>
        <v>O-8</v>
      </c>
      <c r="F280" t="s">
        <v>84</v>
      </c>
      <c r="G280" t="str">
        <f>IF(StatusBranchGrade[[#This Row],[Rank]] = StatusBranchGrade[[#This Row],[Grade]], StatusBranchGrade[[#This Row],[Rank]], StatusBranchGrade[[#This Row],[Grade]] &amp; "/" &amp; StatusBranchGrade[[#This Row],[Rank]]) &amp; ""</f>
        <v>O-8</v>
      </c>
      <c r="H28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O-8</v>
      </c>
      <c r="I280" s="17" t="str">
        <f>SUBSTITUTE(SUBSTITUTE(SUBSTITUTE(StatusBranchGrade[[#This Row],[Status]] &amp; "  /  " &amp; StatusBranchGrade[[#This Row],[Branch]] &amp; ";", "  /  ;", ";"), "  /  ;", ";"), ";", "")</f>
        <v>Active Duty  /  Marines</v>
      </c>
      <c r="J280">
        <v>12</v>
      </c>
      <c r="K280" s="17" t="str">
        <f>IF(LEFT(StatusBranchGrade[[#This Row],[Which]], 1) = "1", StatusBranchGrade[[#This Row],[Key]], "")</f>
        <v>Active Duty  /  Marines  /  O-8</v>
      </c>
      <c r="L280" s="17" t="str">
        <f>IF(LEFT(StatusBranchGrade[[#This Row],[Which]], 1) = "1", StatusBranchGrade[[#This Row],[Key0]], "")</f>
        <v>Active Duty  /  Marines</v>
      </c>
      <c r="M280" s="17" t="str">
        <f>IF(RIGHT(StatusBranchGrade[[#This Row],[Which]], 1) = "2", StatusBranchGrade[[#This Row],[Key]], "")</f>
        <v>Active Duty  /  Marines  /  O-8</v>
      </c>
      <c r="N280" s="17" t="str">
        <f>IF(RIGHT(StatusBranchGrade[[#This Row],[Which]], 1) = "2", StatusBranchGrade[[#This Row],[Key0]], "")</f>
        <v>Active Duty  /  Marines</v>
      </c>
      <c r="O280" s="17" t="s">
        <v>296</v>
      </c>
      <c r="P280" s="17"/>
      <c r="Q280" s="63">
        <f>--ISNUMBER(IF(StatusBranchGrade[[#This Row],[Sponsor0]] = 'Calculation Worksheet'!$AV$6 &amp; "  /  " &amp; 'Calculation Worksheet'!$AV$7, 1, ""))</f>
        <v>0</v>
      </c>
      <c r="R280" s="63" t="str">
        <f>IF(StatusBranchGrade[[#This Row],[S1]] = 1, COUNTIF($Q$3:Q280, 1), "")</f>
        <v/>
      </c>
      <c r="S280" s="63" t="str">
        <f>IFERROR(INDEX(StatusBranchGrade[Rank/Grade], MATCH(ROWS($R$3:R280)-1, StatusBranchGrade[S2], 0)), "") &amp; ""</f>
        <v/>
      </c>
      <c r="T280" s="63">
        <f>--ISNUMBER(IF(StatusBranchGrade[[#This Row],[Spouse0]] = 'Calculation Worksheet'!$CG$6 &amp; "  /  " &amp; 'Calculation Worksheet'!$CG$7, 1, ""))</f>
        <v>0</v>
      </c>
      <c r="U280" s="63" t="str">
        <f>IF(StatusBranchGrade[[#This Row],[T1]] = 1, COUNTIF($T$3:T280, 1), "")</f>
        <v/>
      </c>
      <c r="V280" s="63" t="str">
        <f>IFERROR(INDEX(StatusBranchGrade[Rank/Grade], MATCH(ROWS($U$3:U280)-1, StatusBranchGrade[T2], 0)), "") &amp; ""</f>
        <v/>
      </c>
      <c r="W280" s="63"/>
    </row>
    <row r="281" spans="1:23" x14ac:dyDescent="0.25">
      <c r="A281">
        <v>5</v>
      </c>
      <c r="B281" t="s">
        <v>216</v>
      </c>
      <c r="C281" t="s">
        <v>181</v>
      </c>
      <c r="D281" t="s">
        <v>83</v>
      </c>
      <c r="E281" t="str">
        <f>IF(StatusBranchGrade[[#This Row],[Status]] = "CYS", "DoD", StatusBranchGrade[[#This Row],[Rank]] &amp; "")</f>
        <v>O-9</v>
      </c>
      <c r="F281" t="s">
        <v>83</v>
      </c>
      <c r="G281" t="str">
        <f>IF(StatusBranchGrade[[#This Row],[Rank]] = StatusBranchGrade[[#This Row],[Grade]], StatusBranchGrade[[#This Row],[Rank]], StatusBranchGrade[[#This Row],[Grade]] &amp; "/" &amp; StatusBranchGrade[[#This Row],[Rank]]) &amp; ""</f>
        <v>O-9</v>
      </c>
      <c r="H28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O-9</v>
      </c>
      <c r="I281" s="17" t="str">
        <f>SUBSTITUTE(SUBSTITUTE(SUBSTITUTE(StatusBranchGrade[[#This Row],[Status]] &amp; "  /  " &amp; StatusBranchGrade[[#This Row],[Branch]] &amp; ";", "  /  ;", ";"), "  /  ;", ";"), ";", "")</f>
        <v>Active Duty  /  Marines</v>
      </c>
      <c r="J281">
        <v>12</v>
      </c>
      <c r="K281" s="17" t="str">
        <f>IF(LEFT(StatusBranchGrade[[#This Row],[Which]], 1) = "1", StatusBranchGrade[[#This Row],[Key]], "")</f>
        <v>Active Duty  /  Marines  /  O-9</v>
      </c>
      <c r="L281" s="17" t="str">
        <f>IF(LEFT(StatusBranchGrade[[#This Row],[Which]], 1) = "1", StatusBranchGrade[[#This Row],[Key0]], "")</f>
        <v>Active Duty  /  Marines</v>
      </c>
      <c r="M281" s="17" t="str">
        <f>IF(RIGHT(StatusBranchGrade[[#This Row],[Which]], 1) = "2", StatusBranchGrade[[#This Row],[Key]], "")</f>
        <v>Active Duty  /  Marines  /  O-9</v>
      </c>
      <c r="N281" s="17" t="str">
        <f>IF(RIGHT(StatusBranchGrade[[#This Row],[Which]], 1) = "2", StatusBranchGrade[[#This Row],[Key0]], "")</f>
        <v>Active Duty  /  Marines</v>
      </c>
      <c r="O281" s="17" t="s">
        <v>296</v>
      </c>
      <c r="P281" s="17"/>
      <c r="Q281" s="63">
        <f>--ISNUMBER(IF(StatusBranchGrade[[#This Row],[Sponsor0]] = 'Calculation Worksheet'!$AV$6 &amp; "  /  " &amp; 'Calculation Worksheet'!$AV$7, 1, ""))</f>
        <v>0</v>
      </c>
      <c r="R281" s="63" t="str">
        <f>IF(StatusBranchGrade[[#This Row],[S1]] = 1, COUNTIF($Q$3:Q281, 1), "")</f>
        <v/>
      </c>
      <c r="S281" s="63" t="str">
        <f>IFERROR(INDEX(StatusBranchGrade[Rank/Grade], MATCH(ROWS($R$3:R281)-1, StatusBranchGrade[S2], 0)), "") &amp; ""</f>
        <v/>
      </c>
      <c r="T281" s="63">
        <f>--ISNUMBER(IF(StatusBranchGrade[[#This Row],[Spouse0]] = 'Calculation Worksheet'!$CG$6 &amp; "  /  " &amp; 'Calculation Worksheet'!$CG$7, 1, ""))</f>
        <v>0</v>
      </c>
      <c r="U281" s="63" t="str">
        <f>IF(StatusBranchGrade[[#This Row],[T1]] = 1, COUNTIF($T$3:T281, 1), "")</f>
        <v/>
      </c>
      <c r="V281" s="63" t="str">
        <f>IFERROR(INDEX(StatusBranchGrade[Rank/Grade], MATCH(ROWS($U$3:U281)-1, StatusBranchGrade[T2], 0)), "") &amp; ""</f>
        <v/>
      </c>
      <c r="W281" s="63"/>
    </row>
    <row r="282" spans="1:23" x14ac:dyDescent="0.25">
      <c r="A282">
        <v>5</v>
      </c>
      <c r="B282" t="s">
        <v>216</v>
      </c>
      <c r="C282" t="s">
        <v>181</v>
      </c>
      <c r="D282" t="s">
        <v>95</v>
      </c>
      <c r="E282" t="str">
        <f>IF(StatusBranchGrade[[#This Row],[Status]] = "CYS", "DoD", StatusBranchGrade[[#This Row],[Rank]] &amp; "")</f>
        <v>W-2</v>
      </c>
      <c r="F282" t="s">
        <v>95</v>
      </c>
      <c r="G282" t="str">
        <f>IF(StatusBranchGrade[[#This Row],[Rank]] = StatusBranchGrade[[#This Row],[Grade]], StatusBranchGrade[[#This Row],[Rank]], StatusBranchGrade[[#This Row],[Grade]] &amp; "/" &amp; StatusBranchGrade[[#This Row],[Rank]]) &amp; ""</f>
        <v>W-2</v>
      </c>
      <c r="H28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W-2</v>
      </c>
      <c r="I282" s="17" t="str">
        <f>SUBSTITUTE(SUBSTITUTE(SUBSTITUTE(StatusBranchGrade[[#This Row],[Status]] &amp; "  /  " &amp; StatusBranchGrade[[#This Row],[Branch]] &amp; ";", "  /  ;", ";"), "  /  ;", ";"), ";", "")</f>
        <v>Active Duty  /  Marines</v>
      </c>
      <c r="J282">
        <v>12</v>
      </c>
      <c r="K282" s="17" t="str">
        <f>IF(LEFT(StatusBranchGrade[[#This Row],[Which]], 1) = "1", StatusBranchGrade[[#This Row],[Key]], "")</f>
        <v>Active Duty  /  Marines  /  W-2</v>
      </c>
      <c r="L282" s="17" t="str">
        <f>IF(LEFT(StatusBranchGrade[[#This Row],[Which]], 1) = "1", StatusBranchGrade[[#This Row],[Key0]], "")</f>
        <v>Active Duty  /  Marines</v>
      </c>
      <c r="M282" s="17" t="str">
        <f>IF(RIGHT(StatusBranchGrade[[#This Row],[Which]], 1) = "2", StatusBranchGrade[[#This Row],[Key]], "")</f>
        <v>Active Duty  /  Marines  /  W-2</v>
      </c>
      <c r="N282" s="17" t="str">
        <f>IF(RIGHT(StatusBranchGrade[[#This Row],[Which]], 1) = "2", StatusBranchGrade[[#This Row],[Key0]], "")</f>
        <v>Active Duty  /  Marines</v>
      </c>
      <c r="O282" s="17" t="s">
        <v>296</v>
      </c>
      <c r="P282" s="17"/>
      <c r="Q282" s="63">
        <f>--ISNUMBER(IF(StatusBranchGrade[[#This Row],[Sponsor0]] = 'Calculation Worksheet'!$AV$6 &amp; "  /  " &amp; 'Calculation Worksheet'!$AV$7, 1, ""))</f>
        <v>0</v>
      </c>
      <c r="R282" s="63" t="str">
        <f>IF(StatusBranchGrade[[#This Row],[S1]] = 1, COUNTIF($Q$3:Q282, 1), "")</f>
        <v/>
      </c>
      <c r="S282" s="63" t="str">
        <f>IFERROR(INDEX(StatusBranchGrade[Rank/Grade], MATCH(ROWS($R$3:R282)-1, StatusBranchGrade[S2], 0)), "") &amp; ""</f>
        <v/>
      </c>
      <c r="T282" s="63">
        <f>--ISNUMBER(IF(StatusBranchGrade[[#This Row],[Spouse0]] = 'Calculation Worksheet'!$CG$6 &amp; "  /  " &amp; 'Calculation Worksheet'!$CG$7, 1, ""))</f>
        <v>0</v>
      </c>
      <c r="U282" s="63" t="str">
        <f>IF(StatusBranchGrade[[#This Row],[T1]] = 1, COUNTIF($T$3:T282, 1), "")</f>
        <v/>
      </c>
      <c r="V282" s="63" t="str">
        <f>IFERROR(INDEX(StatusBranchGrade[Rank/Grade], MATCH(ROWS($U$3:U282)-1, StatusBranchGrade[T2], 0)), "") &amp; ""</f>
        <v/>
      </c>
      <c r="W282" s="63"/>
    </row>
    <row r="283" spans="1:23" x14ac:dyDescent="0.25">
      <c r="A283">
        <v>5</v>
      </c>
      <c r="B283" t="s">
        <v>216</v>
      </c>
      <c r="C283" t="s">
        <v>181</v>
      </c>
      <c r="D283" t="s">
        <v>94</v>
      </c>
      <c r="E283" t="str">
        <f>IF(StatusBranchGrade[[#This Row],[Status]] = "CYS", "DoD", StatusBranchGrade[[#This Row],[Rank]] &amp; "")</f>
        <v>W-3</v>
      </c>
      <c r="F283" t="s">
        <v>94</v>
      </c>
      <c r="G283" t="str">
        <f>IF(StatusBranchGrade[[#This Row],[Rank]] = StatusBranchGrade[[#This Row],[Grade]], StatusBranchGrade[[#This Row],[Rank]], StatusBranchGrade[[#This Row],[Grade]] &amp; "/" &amp; StatusBranchGrade[[#This Row],[Rank]]) &amp; ""</f>
        <v>W-3</v>
      </c>
      <c r="H28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W-3</v>
      </c>
      <c r="I283" s="17" t="str">
        <f>SUBSTITUTE(SUBSTITUTE(SUBSTITUTE(StatusBranchGrade[[#This Row],[Status]] &amp; "  /  " &amp; StatusBranchGrade[[#This Row],[Branch]] &amp; ";", "  /  ;", ";"), "  /  ;", ";"), ";", "")</f>
        <v>Active Duty  /  Marines</v>
      </c>
      <c r="J283">
        <v>12</v>
      </c>
      <c r="K283" s="17" t="str">
        <f>IF(LEFT(StatusBranchGrade[[#This Row],[Which]], 1) = "1", StatusBranchGrade[[#This Row],[Key]], "")</f>
        <v>Active Duty  /  Marines  /  W-3</v>
      </c>
      <c r="L283" s="17" t="str">
        <f>IF(LEFT(StatusBranchGrade[[#This Row],[Which]], 1) = "1", StatusBranchGrade[[#This Row],[Key0]], "")</f>
        <v>Active Duty  /  Marines</v>
      </c>
      <c r="M283" s="17" t="str">
        <f>IF(RIGHT(StatusBranchGrade[[#This Row],[Which]], 1) = "2", StatusBranchGrade[[#This Row],[Key]], "")</f>
        <v>Active Duty  /  Marines  /  W-3</v>
      </c>
      <c r="N283" s="17" t="str">
        <f>IF(RIGHT(StatusBranchGrade[[#This Row],[Which]], 1) = "2", StatusBranchGrade[[#This Row],[Key0]], "")</f>
        <v>Active Duty  /  Marines</v>
      </c>
      <c r="O283" s="17" t="s">
        <v>296</v>
      </c>
      <c r="P283" s="17"/>
      <c r="Q283" s="63">
        <f>--ISNUMBER(IF(StatusBranchGrade[[#This Row],[Sponsor0]] = 'Calculation Worksheet'!$AV$6 &amp; "  /  " &amp; 'Calculation Worksheet'!$AV$7, 1, ""))</f>
        <v>0</v>
      </c>
      <c r="R283" s="63" t="str">
        <f>IF(StatusBranchGrade[[#This Row],[S1]] = 1, COUNTIF($Q$3:Q283, 1), "")</f>
        <v/>
      </c>
      <c r="S283" s="63" t="str">
        <f>IFERROR(INDEX(StatusBranchGrade[Rank/Grade], MATCH(ROWS($R$3:R283)-1, StatusBranchGrade[S2], 0)), "") &amp; ""</f>
        <v/>
      </c>
      <c r="T283" s="63">
        <f>--ISNUMBER(IF(StatusBranchGrade[[#This Row],[Spouse0]] = 'Calculation Worksheet'!$CG$6 &amp; "  /  " &amp; 'Calculation Worksheet'!$CG$7, 1, ""))</f>
        <v>0</v>
      </c>
      <c r="U283" s="63" t="str">
        <f>IF(StatusBranchGrade[[#This Row],[T1]] = 1, COUNTIF($T$3:T283, 1), "")</f>
        <v/>
      </c>
      <c r="V283" s="63" t="str">
        <f>IFERROR(INDEX(StatusBranchGrade[Rank/Grade], MATCH(ROWS($U$3:U283)-1, StatusBranchGrade[T2], 0)), "") &amp; ""</f>
        <v/>
      </c>
      <c r="W283" s="63"/>
    </row>
    <row r="284" spans="1:23" x14ac:dyDescent="0.25">
      <c r="A284">
        <v>5</v>
      </c>
      <c r="B284" t="s">
        <v>216</v>
      </c>
      <c r="C284" t="s">
        <v>181</v>
      </c>
      <c r="D284" t="s">
        <v>93</v>
      </c>
      <c r="E284" t="str">
        <f>IF(StatusBranchGrade[[#This Row],[Status]] = "CYS", "DoD", StatusBranchGrade[[#This Row],[Rank]] &amp; "")</f>
        <v>W-4</v>
      </c>
      <c r="F284" t="s">
        <v>93</v>
      </c>
      <c r="G284" t="str">
        <f>IF(StatusBranchGrade[[#This Row],[Rank]] = StatusBranchGrade[[#This Row],[Grade]], StatusBranchGrade[[#This Row],[Rank]], StatusBranchGrade[[#This Row],[Grade]] &amp; "/" &amp; StatusBranchGrade[[#This Row],[Rank]]) &amp; ""</f>
        <v>W-4</v>
      </c>
      <c r="H28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W-4</v>
      </c>
      <c r="I284" s="17" t="str">
        <f>SUBSTITUTE(SUBSTITUTE(SUBSTITUTE(StatusBranchGrade[[#This Row],[Status]] &amp; "  /  " &amp; StatusBranchGrade[[#This Row],[Branch]] &amp; ";", "  /  ;", ";"), "  /  ;", ";"), ";", "")</f>
        <v>Active Duty  /  Marines</v>
      </c>
      <c r="J284">
        <v>12</v>
      </c>
      <c r="K284" s="17" t="str">
        <f>IF(LEFT(StatusBranchGrade[[#This Row],[Which]], 1) = "1", StatusBranchGrade[[#This Row],[Key]], "")</f>
        <v>Active Duty  /  Marines  /  W-4</v>
      </c>
      <c r="L284" s="17" t="str">
        <f>IF(LEFT(StatusBranchGrade[[#This Row],[Which]], 1) = "1", StatusBranchGrade[[#This Row],[Key0]], "")</f>
        <v>Active Duty  /  Marines</v>
      </c>
      <c r="M284" s="17" t="str">
        <f>IF(RIGHT(StatusBranchGrade[[#This Row],[Which]], 1) = "2", StatusBranchGrade[[#This Row],[Key]], "")</f>
        <v>Active Duty  /  Marines  /  W-4</v>
      </c>
      <c r="N284" s="17" t="str">
        <f>IF(RIGHT(StatusBranchGrade[[#This Row],[Which]], 1) = "2", StatusBranchGrade[[#This Row],[Key0]], "")</f>
        <v>Active Duty  /  Marines</v>
      </c>
      <c r="O284" s="17" t="s">
        <v>296</v>
      </c>
      <c r="P284" s="17"/>
      <c r="Q284" s="63">
        <f>--ISNUMBER(IF(StatusBranchGrade[[#This Row],[Sponsor0]] = 'Calculation Worksheet'!$AV$6 &amp; "  /  " &amp; 'Calculation Worksheet'!$AV$7, 1, ""))</f>
        <v>0</v>
      </c>
      <c r="R284" s="63" t="str">
        <f>IF(StatusBranchGrade[[#This Row],[S1]] = 1, COUNTIF($Q$3:Q284, 1), "")</f>
        <v/>
      </c>
      <c r="S284" s="63" t="str">
        <f>IFERROR(INDEX(StatusBranchGrade[Rank/Grade], MATCH(ROWS($R$3:R284)-1, StatusBranchGrade[S2], 0)), "") &amp; ""</f>
        <v/>
      </c>
      <c r="T284" s="63">
        <f>--ISNUMBER(IF(StatusBranchGrade[[#This Row],[Spouse0]] = 'Calculation Worksheet'!$CG$6 &amp; "  /  " &amp; 'Calculation Worksheet'!$CG$7, 1, ""))</f>
        <v>0</v>
      </c>
      <c r="U284" s="63" t="str">
        <f>IF(StatusBranchGrade[[#This Row],[T1]] = 1, COUNTIF($T$3:T284, 1), "")</f>
        <v/>
      </c>
      <c r="V284" s="63" t="str">
        <f>IFERROR(INDEX(StatusBranchGrade[Rank/Grade], MATCH(ROWS($U$3:U284)-1, StatusBranchGrade[T2], 0)), "") &amp; ""</f>
        <v/>
      </c>
      <c r="W284" s="63"/>
    </row>
    <row r="285" spans="1:23" x14ac:dyDescent="0.25">
      <c r="A285">
        <v>5</v>
      </c>
      <c r="B285" t="s">
        <v>216</v>
      </c>
      <c r="C285" t="s">
        <v>181</v>
      </c>
      <c r="D285" t="s">
        <v>96</v>
      </c>
      <c r="E285" t="str">
        <f>IF(StatusBranchGrade[[#This Row],[Status]] = "CYS", "DoD", StatusBranchGrade[[#This Row],[Rank]] &amp; "")</f>
        <v>W-1</v>
      </c>
      <c r="F285" t="s">
        <v>179</v>
      </c>
      <c r="G285" t="str">
        <f>IF(StatusBranchGrade[[#This Row],[Rank]] = StatusBranchGrade[[#This Row],[Grade]], StatusBranchGrade[[#This Row],[Rank]], StatusBranchGrade[[#This Row],[Grade]] &amp; "/" &amp; StatusBranchGrade[[#This Row],[Rank]]) &amp; ""</f>
        <v>WO1/W-1</v>
      </c>
      <c r="H28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Marines  /  WO1/W-1</v>
      </c>
      <c r="I285" s="17" t="str">
        <f>SUBSTITUTE(SUBSTITUTE(SUBSTITUTE(StatusBranchGrade[[#This Row],[Status]] &amp; "  /  " &amp; StatusBranchGrade[[#This Row],[Branch]] &amp; ";", "  /  ;", ";"), "  /  ;", ";"), ";", "")</f>
        <v>Active Duty  /  Marines</v>
      </c>
      <c r="J285">
        <v>12</v>
      </c>
      <c r="K285" s="17" t="str">
        <f>IF(LEFT(StatusBranchGrade[[#This Row],[Which]], 1) = "1", StatusBranchGrade[[#This Row],[Key]], "")</f>
        <v>Active Duty  /  Marines  /  WO1/W-1</v>
      </c>
      <c r="L285" s="17" t="str">
        <f>IF(LEFT(StatusBranchGrade[[#This Row],[Which]], 1) = "1", StatusBranchGrade[[#This Row],[Key0]], "")</f>
        <v>Active Duty  /  Marines</v>
      </c>
      <c r="M285" s="17" t="str">
        <f>IF(RIGHT(StatusBranchGrade[[#This Row],[Which]], 1) = "2", StatusBranchGrade[[#This Row],[Key]], "")</f>
        <v>Active Duty  /  Marines  /  WO1/W-1</v>
      </c>
      <c r="N285" s="17" t="str">
        <f>IF(RIGHT(StatusBranchGrade[[#This Row],[Which]], 1) = "2", StatusBranchGrade[[#This Row],[Key0]], "")</f>
        <v>Active Duty  /  Marines</v>
      </c>
      <c r="O285" s="17" t="s">
        <v>296</v>
      </c>
      <c r="P285" s="17"/>
      <c r="Q285" s="63">
        <f>--ISNUMBER(IF(StatusBranchGrade[[#This Row],[Sponsor0]] = 'Calculation Worksheet'!$AV$6 &amp; "  /  " &amp; 'Calculation Worksheet'!$AV$7, 1, ""))</f>
        <v>0</v>
      </c>
      <c r="R285" s="63" t="str">
        <f>IF(StatusBranchGrade[[#This Row],[S1]] = 1, COUNTIF($Q$3:Q285, 1), "")</f>
        <v/>
      </c>
      <c r="S285" s="63" t="str">
        <f>IFERROR(INDEX(StatusBranchGrade[Rank/Grade], MATCH(ROWS($R$3:R285)-1, StatusBranchGrade[S2], 0)), "") &amp; ""</f>
        <v/>
      </c>
      <c r="T285" s="63">
        <f>--ISNUMBER(IF(StatusBranchGrade[[#This Row],[Spouse0]] = 'Calculation Worksheet'!$CG$6 &amp; "  /  " &amp; 'Calculation Worksheet'!$CG$7, 1, ""))</f>
        <v>0</v>
      </c>
      <c r="U285" s="63" t="str">
        <f>IF(StatusBranchGrade[[#This Row],[T1]] = 1, COUNTIF($T$3:T285, 1), "")</f>
        <v/>
      </c>
      <c r="V285" s="63" t="str">
        <f>IFERROR(INDEX(StatusBranchGrade[Rank/Grade], MATCH(ROWS($U$3:U285)-1, StatusBranchGrade[T2], 0)), "") &amp; ""</f>
        <v/>
      </c>
      <c r="W285" s="63"/>
    </row>
    <row r="286" spans="1:23" x14ac:dyDescent="0.25">
      <c r="A286">
        <v>5</v>
      </c>
      <c r="B286" t="s">
        <v>216</v>
      </c>
      <c r="C286" t="s">
        <v>182</v>
      </c>
      <c r="D286" t="s">
        <v>105</v>
      </c>
      <c r="E286" t="str">
        <f>IF(StatusBranchGrade[[#This Row],[Status]] = "CYS", "DoD", StatusBranchGrade[[#This Row],[Rank]] &amp; "")</f>
        <v>E-1</v>
      </c>
      <c r="F286" t="s">
        <v>105</v>
      </c>
      <c r="G286" t="str">
        <f>IF(StatusBranchGrade[[#This Row],[Rank]] = StatusBranchGrade[[#This Row],[Grade]], StatusBranchGrade[[#This Row],[Rank]], StatusBranchGrade[[#This Row],[Grade]] &amp; "/" &amp; StatusBranchGrade[[#This Row],[Rank]]) &amp; ""</f>
        <v>E-1</v>
      </c>
      <c r="H28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E-1</v>
      </c>
      <c r="I286" s="17" t="str">
        <f>SUBSTITUTE(SUBSTITUTE(SUBSTITUTE(StatusBranchGrade[[#This Row],[Status]] &amp; "  /  " &amp; StatusBranchGrade[[#This Row],[Branch]] &amp; ";", "  /  ;", ";"), "  /  ;", ";"), ";", "")</f>
        <v>Active Duty  /  Navy</v>
      </c>
      <c r="J286">
        <v>12</v>
      </c>
      <c r="K286" s="17" t="str">
        <f>IF(LEFT(StatusBranchGrade[[#This Row],[Which]], 1) = "1", StatusBranchGrade[[#This Row],[Key]], "")</f>
        <v>Active Duty  /  Navy  /  E-1</v>
      </c>
      <c r="L286" s="17" t="str">
        <f>IF(LEFT(StatusBranchGrade[[#This Row],[Which]], 1) = "1", StatusBranchGrade[[#This Row],[Key0]], "")</f>
        <v>Active Duty  /  Navy</v>
      </c>
      <c r="M286" s="17" t="str">
        <f>IF(RIGHT(StatusBranchGrade[[#This Row],[Which]], 1) = "2", StatusBranchGrade[[#This Row],[Key]], "")</f>
        <v>Active Duty  /  Navy  /  E-1</v>
      </c>
      <c r="N286" s="17" t="str">
        <f>IF(RIGHT(StatusBranchGrade[[#This Row],[Which]], 1) = "2", StatusBranchGrade[[#This Row],[Key0]], "")</f>
        <v>Active Duty  /  Navy</v>
      </c>
      <c r="O286" s="17" t="s">
        <v>296</v>
      </c>
      <c r="P286" s="17"/>
      <c r="Q286" s="63">
        <f>--ISNUMBER(IF(StatusBranchGrade[[#This Row],[Sponsor0]] = 'Calculation Worksheet'!$AV$6 &amp; "  /  " &amp; 'Calculation Worksheet'!$AV$7, 1, ""))</f>
        <v>0</v>
      </c>
      <c r="R286" s="63" t="str">
        <f>IF(StatusBranchGrade[[#This Row],[S1]] = 1, COUNTIF($Q$3:Q286, 1), "")</f>
        <v/>
      </c>
      <c r="S286" s="63" t="str">
        <f>IFERROR(INDEX(StatusBranchGrade[Rank/Grade], MATCH(ROWS($R$3:R286)-1, StatusBranchGrade[S2], 0)), "") &amp; ""</f>
        <v/>
      </c>
      <c r="T286" s="63">
        <f>--ISNUMBER(IF(StatusBranchGrade[[#This Row],[Spouse0]] = 'Calculation Worksheet'!$CG$6 &amp; "  /  " &amp; 'Calculation Worksheet'!$CG$7, 1, ""))</f>
        <v>0</v>
      </c>
      <c r="U286" s="63" t="str">
        <f>IF(StatusBranchGrade[[#This Row],[T1]] = 1, COUNTIF($T$3:T286, 1), "")</f>
        <v/>
      </c>
      <c r="V286" s="63" t="str">
        <f>IFERROR(INDEX(StatusBranchGrade[Rank/Grade], MATCH(ROWS($U$3:U286)-1, StatusBranchGrade[T2], 0)), "") &amp; ""</f>
        <v/>
      </c>
      <c r="W286" s="63"/>
    </row>
    <row r="287" spans="1:23" x14ac:dyDescent="0.25">
      <c r="A287">
        <v>5</v>
      </c>
      <c r="B287" t="s">
        <v>216</v>
      </c>
      <c r="C287" t="s">
        <v>182</v>
      </c>
      <c r="D287" t="s">
        <v>104</v>
      </c>
      <c r="E287" t="str">
        <f>IF(StatusBranchGrade[[#This Row],[Status]] = "CYS", "DoD", StatusBranchGrade[[#This Row],[Rank]] &amp; "")</f>
        <v>E-2</v>
      </c>
      <c r="F287" t="s">
        <v>104</v>
      </c>
      <c r="G287" t="str">
        <f>IF(StatusBranchGrade[[#This Row],[Rank]] = StatusBranchGrade[[#This Row],[Grade]], StatusBranchGrade[[#This Row],[Rank]], StatusBranchGrade[[#This Row],[Grade]] &amp; "/" &amp; StatusBranchGrade[[#This Row],[Rank]]) &amp; ""</f>
        <v>E-2</v>
      </c>
      <c r="H28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E-2</v>
      </c>
      <c r="I287" s="17" t="str">
        <f>SUBSTITUTE(SUBSTITUTE(SUBSTITUTE(StatusBranchGrade[[#This Row],[Status]] &amp; "  /  " &amp; StatusBranchGrade[[#This Row],[Branch]] &amp; ";", "  /  ;", ";"), "  /  ;", ";"), ";", "")</f>
        <v>Active Duty  /  Navy</v>
      </c>
      <c r="J287">
        <v>12</v>
      </c>
      <c r="K287" s="17" t="str">
        <f>IF(LEFT(StatusBranchGrade[[#This Row],[Which]], 1) = "1", StatusBranchGrade[[#This Row],[Key]], "")</f>
        <v>Active Duty  /  Navy  /  E-2</v>
      </c>
      <c r="L287" s="17" t="str">
        <f>IF(LEFT(StatusBranchGrade[[#This Row],[Which]], 1) = "1", StatusBranchGrade[[#This Row],[Key0]], "")</f>
        <v>Active Duty  /  Navy</v>
      </c>
      <c r="M287" s="17" t="str">
        <f>IF(RIGHT(StatusBranchGrade[[#This Row],[Which]], 1) = "2", StatusBranchGrade[[#This Row],[Key]], "")</f>
        <v>Active Duty  /  Navy  /  E-2</v>
      </c>
      <c r="N287" s="17" t="str">
        <f>IF(RIGHT(StatusBranchGrade[[#This Row],[Which]], 1) = "2", StatusBranchGrade[[#This Row],[Key0]], "")</f>
        <v>Active Duty  /  Navy</v>
      </c>
      <c r="O287" s="17" t="s">
        <v>296</v>
      </c>
      <c r="P287" s="17"/>
      <c r="Q287" s="63">
        <f>--ISNUMBER(IF(StatusBranchGrade[[#This Row],[Sponsor0]] = 'Calculation Worksheet'!$AV$6 &amp; "  /  " &amp; 'Calculation Worksheet'!$AV$7, 1, ""))</f>
        <v>0</v>
      </c>
      <c r="R287" s="63" t="str">
        <f>IF(StatusBranchGrade[[#This Row],[S1]] = 1, COUNTIF($Q$3:Q287, 1), "")</f>
        <v/>
      </c>
      <c r="S287" s="63" t="str">
        <f>IFERROR(INDEX(StatusBranchGrade[Rank/Grade], MATCH(ROWS($R$3:R287)-1, StatusBranchGrade[S2], 0)), "") &amp; ""</f>
        <v/>
      </c>
      <c r="T287" s="63">
        <f>--ISNUMBER(IF(StatusBranchGrade[[#This Row],[Spouse0]] = 'Calculation Worksheet'!$CG$6 &amp; "  /  " &amp; 'Calculation Worksheet'!$CG$7, 1, ""))</f>
        <v>0</v>
      </c>
      <c r="U287" s="63" t="str">
        <f>IF(StatusBranchGrade[[#This Row],[T1]] = 1, COUNTIF($T$3:T287, 1), "")</f>
        <v/>
      </c>
      <c r="V287" s="63" t="str">
        <f>IFERROR(INDEX(StatusBranchGrade[Rank/Grade], MATCH(ROWS($U$3:U287)-1, StatusBranchGrade[T2], 0)), "") &amp; ""</f>
        <v/>
      </c>
      <c r="W287" s="63"/>
    </row>
    <row r="288" spans="1:23" x14ac:dyDescent="0.25">
      <c r="A288">
        <v>5</v>
      </c>
      <c r="B288" t="s">
        <v>216</v>
      </c>
      <c r="C288" t="s">
        <v>182</v>
      </c>
      <c r="D288" t="s">
        <v>103</v>
      </c>
      <c r="E288" t="str">
        <f>IF(StatusBranchGrade[[#This Row],[Status]] = "CYS", "DoD", StatusBranchGrade[[#This Row],[Rank]] &amp; "")</f>
        <v>E-3</v>
      </c>
      <c r="F288" t="s">
        <v>103</v>
      </c>
      <c r="G288" t="str">
        <f>IF(StatusBranchGrade[[#This Row],[Rank]] = StatusBranchGrade[[#This Row],[Grade]], StatusBranchGrade[[#This Row],[Rank]], StatusBranchGrade[[#This Row],[Grade]] &amp; "/" &amp; StatusBranchGrade[[#This Row],[Rank]]) &amp; ""</f>
        <v>E-3</v>
      </c>
      <c r="H28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E-3</v>
      </c>
      <c r="I288" s="17" t="str">
        <f>SUBSTITUTE(SUBSTITUTE(SUBSTITUTE(StatusBranchGrade[[#This Row],[Status]] &amp; "  /  " &amp; StatusBranchGrade[[#This Row],[Branch]] &amp; ";", "  /  ;", ";"), "  /  ;", ";"), ";", "")</f>
        <v>Active Duty  /  Navy</v>
      </c>
      <c r="J288">
        <v>12</v>
      </c>
      <c r="K288" s="17" t="str">
        <f>IF(LEFT(StatusBranchGrade[[#This Row],[Which]], 1) = "1", StatusBranchGrade[[#This Row],[Key]], "")</f>
        <v>Active Duty  /  Navy  /  E-3</v>
      </c>
      <c r="L288" s="17" t="str">
        <f>IF(LEFT(StatusBranchGrade[[#This Row],[Which]], 1) = "1", StatusBranchGrade[[#This Row],[Key0]], "")</f>
        <v>Active Duty  /  Navy</v>
      </c>
      <c r="M288" s="17" t="str">
        <f>IF(RIGHT(StatusBranchGrade[[#This Row],[Which]], 1) = "2", StatusBranchGrade[[#This Row],[Key]], "")</f>
        <v>Active Duty  /  Navy  /  E-3</v>
      </c>
      <c r="N288" s="17" t="str">
        <f>IF(RIGHT(StatusBranchGrade[[#This Row],[Which]], 1) = "2", StatusBranchGrade[[#This Row],[Key0]], "")</f>
        <v>Active Duty  /  Navy</v>
      </c>
      <c r="O288" s="17" t="s">
        <v>296</v>
      </c>
      <c r="P288" s="17"/>
      <c r="Q288" s="63">
        <f>--ISNUMBER(IF(StatusBranchGrade[[#This Row],[Sponsor0]] = 'Calculation Worksheet'!$AV$6 &amp; "  /  " &amp; 'Calculation Worksheet'!$AV$7, 1, ""))</f>
        <v>0</v>
      </c>
      <c r="R288" s="63" t="str">
        <f>IF(StatusBranchGrade[[#This Row],[S1]] = 1, COUNTIF($Q$3:Q288, 1), "")</f>
        <v/>
      </c>
      <c r="S288" s="63" t="str">
        <f>IFERROR(INDEX(StatusBranchGrade[Rank/Grade], MATCH(ROWS($R$3:R288)-1, StatusBranchGrade[S2], 0)), "") &amp; ""</f>
        <v/>
      </c>
      <c r="T288" s="63">
        <f>--ISNUMBER(IF(StatusBranchGrade[[#This Row],[Spouse0]] = 'Calculation Worksheet'!$CG$6 &amp; "  /  " &amp; 'Calculation Worksheet'!$CG$7, 1, ""))</f>
        <v>0</v>
      </c>
      <c r="U288" s="63" t="str">
        <f>IF(StatusBranchGrade[[#This Row],[T1]] = 1, COUNTIF($T$3:T288, 1), "")</f>
        <v/>
      </c>
      <c r="V288" s="63" t="str">
        <f>IFERROR(INDEX(StatusBranchGrade[Rank/Grade], MATCH(ROWS($U$3:U288)-1, StatusBranchGrade[T2], 0)), "") &amp; ""</f>
        <v/>
      </c>
      <c r="W288" s="63"/>
    </row>
    <row r="289" spans="1:23" x14ac:dyDescent="0.25">
      <c r="A289">
        <v>5</v>
      </c>
      <c r="B289" t="s">
        <v>216</v>
      </c>
      <c r="C289" t="s">
        <v>182</v>
      </c>
      <c r="D289" t="s">
        <v>102</v>
      </c>
      <c r="E289" t="str">
        <f>IF(StatusBranchGrade[[#This Row],[Status]] = "CYS", "DoD", StatusBranchGrade[[#This Row],[Rank]] &amp; "")</f>
        <v>E-4</v>
      </c>
      <c r="F289" t="s">
        <v>102</v>
      </c>
      <c r="G289" t="str">
        <f>IF(StatusBranchGrade[[#This Row],[Rank]] = StatusBranchGrade[[#This Row],[Grade]], StatusBranchGrade[[#This Row],[Rank]], StatusBranchGrade[[#This Row],[Grade]] &amp; "/" &amp; StatusBranchGrade[[#This Row],[Rank]]) &amp; ""</f>
        <v>E-4</v>
      </c>
      <c r="H28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E-4</v>
      </c>
      <c r="I289" s="17" t="str">
        <f>SUBSTITUTE(SUBSTITUTE(SUBSTITUTE(StatusBranchGrade[[#This Row],[Status]] &amp; "  /  " &amp; StatusBranchGrade[[#This Row],[Branch]] &amp; ";", "  /  ;", ";"), "  /  ;", ";"), ";", "")</f>
        <v>Active Duty  /  Navy</v>
      </c>
      <c r="J289">
        <v>12</v>
      </c>
      <c r="K289" s="17" t="str">
        <f>IF(LEFT(StatusBranchGrade[[#This Row],[Which]], 1) = "1", StatusBranchGrade[[#This Row],[Key]], "")</f>
        <v>Active Duty  /  Navy  /  E-4</v>
      </c>
      <c r="L289" s="17" t="str">
        <f>IF(LEFT(StatusBranchGrade[[#This Row],[Which]], 1) = "1", StatusBranchGrade[[#This Row],[Key0]], "")</f>
        <v>Active Duty  /  Navy</v>
      </c>
      <c r="M289" s="17" t="str">
        <f>IF(RIGHT(StatusBranchGrade[[#This Row],[Which]], 1) = "2", StatusBranchGrade[[#This Row],[Key]], "")</f>
        <v>Active Duty  /  Navy  /  E-4</v>
      </c>
      <c r="N289" s="17" t="str">
        <f>IF(RIGHT(StatusBranchGrade[[#This Row],[Which]], 1) = "2", StatusBranchGrade[[#This Row],[Key0]], "")</f>
        <v>Active Duty  /  Navy</v>
      </c>
      <c r="O289" s="17" t="s">
        <v>296</v>
      </c>
      <c r="P289" s="17"/>
      <c r="Q289" s="63">
        <f>--ISNUMBER(IF(StatusBranchGrade[[#This Row],[Sponsor0]] = 'Calculation Worksheet'!$AV$6 &amp; "  /  " &amp; 'Calculation Worksheet'!$AV$7, 1, ""))</f>
        <v>0</v>
      </c>
      <c r="R289" s="63" t="str">
        <f>IF(StatusBranchGrade[[#This Row],[S1]] = 1, COUNTIF($Q$3:Q289, 1), "")</f>
        <v/>
      </c>
      <c r="S289" s="63" t="str">
        <f>IFERROR(INDEX(StatusBranchGrade[Rank/Grade], MATCH(ROWS($R$3:R289)-1, StatusBranchGrade[S2], 0)), "") &amp; ""</f>
        <v/>
      </c>
      <c r="T289" s="63">
        <f>--ISNUMBER(IF(StatusBranchGrade[[#This Row],[Spouse0]] = 'Calculation Worksheet'!$CG$6 &amp; "  /  " &amp; 'Calculation Worksheet'!$CG$7, 1, ""))</f>
        <v>0</v>
      </c>
      <c r="U289" s="63" t="str">
        <f>IF(StatusBranchGrade[[#This Row],[T1]] = 1, COUNTIF($T$3:T289, 1), "")</f>
        <v/>
      </c>
      <c r="V289" s="63" t="str">
        <f>IFERROR(INDEX(StatusBranchGrade[Rank/Grade], MATCH(ROWS($U$3:U289)-1, StatusBranchGrade[T2], 0)), "") &amp; ""</f>
        <v/>
      </c>
      <c r="W289" s="63"/>
    </row>
    <row r="290" spans="1:23" x14ac:dyDescent="0.25">
      <c r="A290">
        <v>5</v>
      </c>
      <c r="B290" t="s">
        <v>216</v>
      </c>
      <c r="C290" t="s">
        <v>182</v>
      </c>
      <c r="D290" t="s">
        <v>101</v>
      </c>
      <c r="E290" t="str">
        <f>IF(StatusBranchGrade[[#This Row],[Status]] = "CYS", "DoD", StatusBranchGrade[[#This Row],[Rank]] &amp; "")</f>
        <v>E-5</v>
      </c>
      <c r="F290" t="s">
        <v>101</v>
      </c>
      <c r="G290" t="str">
        <f>IF(StatusBranchGrade[[#This Row],[Rank]] = StatusBranchGrade[[#This Row],[Grade]], StatusBranchGrade[[#This Row],[Rank]], StatusBranchGrade[[#This Row],[Grade]] &amp; "/" &amp; StatusBranchGrade[[#This Row],[Rank]]) &amp; ""</f>
        <v>E-5</v>
      </c>
      <c r="H29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E-5</v>
      </c>
      <c r="I290" s="17" t="str">
        <f>SUBSTITUTE(SUBSTITUTE(SUBSTITUTE(StatusBranchGrade[[#This Row],[Status]] &amp; "  /  " &amp; StatusBranchGrade[[#This Row],[Branch]] &amp; ";", "  /  ;", ";"), "  /  ;", ";"), ";", "")</f>
        <v>Active Duty  /  Navy</v>
      </c>
      <c r="J290">
        <v>12</v>
      </c>
      <c r="K290" s="17" t="str">
        <f>IF(LEFT(StatusBranchGrade[[#This Row],[Which]], 1) = "1", StatusBranchGrade[[#This Row],[Key]], "")</f>
        <v>Active Duty  /  Navy  /  E-5</v>
      </c>
      <c r="L290" s="17" t="str">
        <f>IF(LEFT(StatusBranchGrade[[#This Row],[Which]], 1) = "1", StatusBranchGrade[[#This Row],[Key0]], "")</f>
        <v>Active Duty  /  Navy</v>
      </c>
      <c r="M290" s="17" t="str">
        <f>IF(RIGHT(StatusBranchGrade[[#This Row],[Which]], 1) = "2", StatusBranchGrade[[#This Row],[Key]], "")</f>
        <v>Active Duty  /  Navy  /  E-5</v>
      </c>
      <c r="N290" s="17" t="str">
        <f>IF(RIGHT(StatusBranchGrade[[#This Row],[Which]], 1) = "2", StatusBranchGrade[[#This Row],[Key0]], "")</f>
        <v>Active Duty  /  Navy</v>
      </c>
      <c r="O290" s="17" t="s">
        <v>296</v>
      </c>
      <c r="P290" s="17"/>
      <c r="Q290" s="63">
        <f>--ISNUMBER(IF(StatusBranchGrade[[#This Row],[Sponsor0]] = 'Calculation Worksheet'!$AV$6 &amp; "  /  " &amp; 'Calculation Worksheet'!$AV$7, 1, ""))</f>
        <v>0</v>
      </c>
      <c r="R290" s="63" t="str">
        <f>IF(StatusBranchGrade[[#This Row],[S1]] = 1, COUNTIF($Q$3:Q290, 1), "")</f>
        <v/>
      </c>
      <c r="S290" s="63" t="str">
        <f>IFERROR(INDEX(StatusBranchGrade[Rank/Grade], MATCH(ROWS($R$3:R290)-1, StatusBranchGrade[S2], 0)), "") &amp; ""</f>
        <v/>
      </c>
      <c r="T290" s="63">
        <f>--ISNUMBER(IF(StatusBranchGrade[[#This Row],[Spouse0]] = 'Calculation Worksheet'!$CG$6 &amp; "  /  " &amp; 'Calculation Worksheet'!$CG$7, 1, ""))</f>
        <v>0</v>
      </c>
      <c r="U290" s="63" t="str">
        <f>IF(StatusBranchGrade[[#This Row],[T1]] = 1, COUNTIF($T$3:T290, 1), "")</f>
        <v/>
      </c>
      <c r="V290" s="63" t="str">
        <f>IFERROR(INDEX(StatusBranchGrade[Rank/Grade], MATCH(ROWS($U$3:U290)-1, StatusBranchGrade[T2], 0)), "") &amp; ""</f>
        <v/>
      </c>
      <c r="W290" s="63"/>
    </row>
    <row r="291" spans="1:23" x14ac:dyDescent="0.25">
      <c r="A291">
        <v>5</v>
      </c>
      <c r="B291" t="s">
        <v>216</v>
      </c>
      <c r="C291" t="s">
        <v>182</v>
      </c>
      <c r="D291" t="s">
        <v>100</v>
      </c>
      <c r="E291" t="str">
        <f>IF(StatusBranchGrade[[#This Row],[Status]] = "CYS", "DoD", StatusBranchGrade[[#This Row],[Rank]] &amp; "")</f>
        <v>E-6</v>
      </c>
      <c r="F291" t="s">
        <v>100</v>
      </c>
      <c r="G291" t="str">
        <f>IF(StatusBranchGrade[[#This Row],[Rank]] = StatusBranchGrade[[#This Row],[Grade]], StatusBranchGrade[[#This Row],[Rank]], StatusBranchGrade[[#This Row],[Grade]] &amp; "/" &amp; StatusBranchGrade[[#This Row],[Rank]]) &amp; ""</f>
        <v>E-6</v>
      </c>
      <c r="H29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E-6</v>
      </c>
      <c r="I291" s="17" t="str">
        <f>SUBSTITUTE(SUBSTITUTE(SUBSTITUTE(StatusBranchGrade[[#This Row],[Status]] &amp; "  /  " &amp; StatusBranchGrade[[#This Row],[Branch]] &amp; ";", "  /  ;", ";"), "  /  ;", ";"), ";", "")</f>
        <v>Active Duty  /  Navy</v>
      </c>
      <c r="J291">
        <v>12</v>
      </c>
      <c r="K291" s="17" t="str">
        <f>IF(LEFT(StatusBranchGrade[[#This Row],[Which]], 1) = "1", StatusBranchGrade[[#This Row],[Key]], "")</f>
        <v>Active Duty  /  Navy  /  E-6</v>
      </c>
      <c r="L291" s="17" t="str">
        <f>IF(LEFT(StatusBranchGrade[[#This Row],[Which]], 1) = "1", StatusBranchGrade[[#This Row],[Key0]], "")</f>
        <v>Active Duty  /  Navy</v>
      </c>
      <c r="M291" s="17" t="str">
        <f>IF(RIGHT(StatusBranchGrade[[#This Row],[Which]], 1) = "2", StatusBranchGrade[[#This Row],[Key]], "")</f>
        <v>Active Duty  /  Navy  /  E-6</v>
      </c>
      <c r="N291" s="17" t="str">
        <f>IF(RIGHT(StatusBranchGrade[[#This Row],[Which]], 1) = "2", StatusBranchGrade[[#This Row],[Key0]], "")</f>
        <v>Active Duty  /  Navy</v>
      </c>
      <c r="O291" s="17" t="s">
        <v>296</v>
      </c>
      <c r="P291" s="17"/>
      <c r="Q291" s="63">
        <f>--ISNUMBER(IF(StatusBranchGrade[[#This Row],[Sponsor0]] = 'Calculation Worksheet'!$AV$6 &amp; "  /  " &amp; 'Calculation Worksheet'!$AV$7, 1, ""))</f>
        <v>0</v>
      </c>
      <c r="R291" s="63" t="str">
        <f>IF(StatusBranchGrade[[#This Row],[S1]] = 1, COUNTIF($Q$3:Q291, 1), "")</f>
        <v/>
      </c>
      <c r="S291" s="63" t="str">
        <f>IFERROR(INDEX(StatusBranchGrade[Rank/Grade], MATCH(ROWS($R$3:R291)-1, StatusBranchGrade[S2], 0)), "") &amp; ""</f>
        <v/>
      </c>
      <c r="T291" s="63">
        <f>--ISNUMBER(IF(StatusBranchGrade[[#This Row],[Spouse0]] = 'Calculation Worksheet'!$CG$6 &amp; "  /  " &amp; 'Calculation Worksheet'!$CG$7, 1, ""))</f>
        <v>0</v>
      </c>
      <c r="U291" s="63" t="str">
        <f>IF(StatusBranchGrade[[#This Row],[T1]] = 1, COUNTIF($T$3:T291, 1), "")</f>
        <v/>
      </c>
      <c r="V291" s="63" t="str">
        <f>IFERROR(INDEX(StatusBranchGrade[Rank/Grade], MATCH(ROWS($U$3:U291)-1, StatusBranchGrade[T2], 0)), "") &amp; ""</f>
        <v/>
      </c>
      <c r="W291" s="63"/>
    </row>
    <row r="292" spans="1:23" x14ac:dyDescent="0.25">
      <c r="A292">
        <v>5</v>
      </c>
      <c r="B292" t="s">
        <v>216</v>
      </c>
      <c r="C292" t="s">
        <v>182</v>
      </c>
      <c r="D292" t="s">
        <v>99</v>
      </c>
      <c r="E292" t="str">
        <f>IF(StatusBranchGrade[[#This Row],[Status]] = "CYS", "DoD", StatusBranchGrade[[#This Row],[Rank]] &amp; "")</f>
        <v>E-7</v>
      </c>
      <c r="F292" t="s">
        <v>99</v>
      </c>
      <c r="G292" t="str">
        <f>IF(StatusBranchGrade[[#This Row],[Rank]] = StatusBranchGrade[[#This Row],[Grade]], StatusBranchGrade[[#This Row],[Rank]], StatusBranchGrade[[#This Row],[Grade]] &amp; "/" &amp; StatusBranchGrade[[#This Row],[Rank]]) &amp; ""</f>
        <v>E-7</v>
      </c>
      <c r="H29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E-7</v>
      </c>
      <c r="I292" s="17" t="str">
        <f>SUBSTITUTE(SUBSTITUTE(SUBSTITUTE(StatusBranchGrade[[#This Row],[Status]] &amp; "  /  " &amp; StatusBranchGrade[[#This Row],[Branch]] &amp; ";", "  /  ;", ";"), "  /  ;", ";"), ";", "")</f>
        <v>Active Duty  /  Navy</v>
      </c>
      <c r="J292">
        <v>12</v>
      </c>
      <c r="K292" s="17" t="str">
        <f>IF(LEFT(StatusBranchGrade[[#This Row],[Which]], 1) = "1", StatusBranchGrade[[#This Row],[Key]], "")</f>
        <v>Active Duty  /  Navy  /  E-7</v>
      </c>
      <c r="L292" s="17" t="str">
        <f>IF(LEFT(StatusBranchGrade[[#This Row],[Which]], 1) = "1", StatusBranchGrade[[#This Row],[Key0]], "")</f>
        <v>Active Duty  /  Navy</v>
      </c>
      <c r="M292" s="17" t="str">
        <f>IF(RIGHT(StatusBranchGrade[[#This Row],[Which]], 1) = "2", StatusBranchGrade[[#This Row],[Key]], "")</f>
        <v>Active Duty  /  Navy  /  E-7</v>
      </c>
      <c r="N292" s="17" t="str">
        <f>IF(RIGHT(StatusBranchGrade[[#This Row],[Which]], 1) = "2", StatusBranchGrade[[#This Row],[Key0]], "")</f>
        <v>Active Duty  /  Navy</v>
      </c>
      <c r="O292" s="17" t="s">
        <v>296</v>
      </c>
      <c r="P292" s="17"/>
      <c r="Q292" s="63">
        <f>--ISNUMBER(IF(StatusBranchGrade[[#This Row],[Sponsor0]] = 'Calculation Worksheet'!$AV$6 &amp; "  /  " &amp; 'Calculation Worksheet'!$AV$7, 1, ""))</f>
        <v>0</v>
      </c>
      <c r="R292" s="63" t="str">
        <f>IF(StatusBranchGrade[[#This Row],[S1]] = 1, COUNTIF($Q$3:Q292, 1), "")</f>
        <v/>
      </c>
      <c r="S292" s="63" t="str">
        <f>IFERROR(INDEX(StatusBranchGrade[Rank/Grade], MATCH(ROWS($R$3:R292)-1, StatusBranchGrade[S2], 0)), "") &amp; ""</f>
        <v/>
      </c>
      <c r="T292" s="63">
        <f>--ISNUMBER(IF(StatusBranchGrade[[#This Row],[Spouse0]] = 'Calculation Worksheet'!$CG$6 &amp; "  /  " &amp; 'Calculation Worksheet'!$CG$7, 1, ""))</f>
        <v>0</v>
      </c>
      <c r="U292" s="63" t="str">
        <f>IF(StatusBranchGrade[[#This Row],[T1]] = 1, COUNTIF($T$3:T292, 1), "")</f>
        <v/>
      </c>
      <c r="V292" s="63" t="str">
        <f>IFERROR(INDEX(StatusBranchGrade[Rank/Grade], MATCH(ROWS($U$3:U292)-1, StatusBranchGrade[T2], 0)), "") &amp; ""</f>
        <v/>
      </c>
      <c r="W292" s="63"/>
    </row>
    <row r="293" spans="1:23" x14ac:dyDescent="0.25">
      <c r="A293">
        <v>5</v>
      </c>
      <c r="B293" t="s">
        <v>216</v>
      </c>
      <c r="C293" t="s">
        <v>182</v>
      </c>
      <c r="D293" t="s">
        <v>98</v>
      </c>
      <c r="E293" t="str">
        <f>IF(StatusBranchGrade[[#This Row],[Status]] = "CYS", "DoD", StatusBranchGrade[[#This Row],[Rank]] &amp; "")</f>
        <v>E-8</v>
      </c>
      <c r="F293" t="s">
        <v>98</v>
      </c>
      <c r="G293" t="str">
        <f>IF(StatusBranchGrade[[#This Row],[Rank]] = StatusBranchGrade[[#This Row],[Grade]], StatusBranchGrade[[#This Row],[Rank]], StatusBranchGrade[[#This Row],[Grade]] &amp; "/" &amp; StatusBranchGrade[[#This Row],[Rank]]) &amp; ""</f>
        <v>E-8</v>
      </c>
      <c r="H29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E-8</v>
      </c>
      <c r="I293" s="17" t="str">
        <f>SUBSTITUTE(SUBSTITUTE(SUBSTITUTE(StatusBranchGrade[[#This Row],[Status]] &amp; "  /  " &amp; StatusBranchGrade[[#This Row],[Branch]] &amp; ";", "  /  ;", ";"), "  /  ;", ";"), ";", "")</f>
        <v>Active Duty  /  Navy</v>
      </c>
      <c r="J293">
        <v>12</v>
      </c>
      <c r="K293" s="17" t="str">
        <f>IF(LEFT(StatusBranchGrade[[#This Row],[Which]], 1) = "1", StatusBranchGrade[[#This Row],[Key]], "")</f>
        <v>Active Duty  /  Navy  /  E-8</v>
      </c>
      <c r="L293" s="17" t="str">
        <f>IF(LEFT(StatusBranchGrade[[#This Row],[Which]], 1) = "1", StatusBranchGrade[[#This Row],[Key0]], "")</f>
        <v>Active Duty  /  Navy</v>
      </c>
      <c r="M293" s="17" t="str">
        <f>IF(RIGHT(StatusBranchGrade[[#This Row],[Which]], 1) = "2", StatusBranchGrade[[#This Row],[Key]], "")</f>
        <v>Active Duty  /  Navy  /  E-8</v>
      </c>
      <c r="N293" s="17" t="str">
        <f>IF(RIGHT(StatusBranchGrade[[#This Row],[Which]], 1) = "2", StatusBranchGrade[[#This Row],[Key0]], "")</f>
        <v>Active Duty  /  Navy</v>
      </c>
      <c r="O293" s="17" t="s">
        <v>296</v>
      </c>
      <c r="P293" s="17"/>
      <c r="Q293" s="63">
        <f>--ISNUMBER(IF(StatusBranchGrade[[#This Row],[Sponsor0]] = 'Calculation Worksheet'!$AV$6 &amp; "  /  " &amp; 'Calculation Worksheet'!$AV$7, 1, ""))</f>
        <v>0</v>
      </c>
      <c r="R293" s="63" t="str">
        <f>IF(StatusBranchGrade[[#This Row],[S1]] = 1, COUNTIF($Q$3:Q293, 1), "")</f>
        <v/>
      </c>
      <c r="S293" s="63" t="str">
        <f>IFERROR(INDEX(StatusBranchGrade[Rank/Grade], MATCH(ROWS($R$3:R293)-1, StatusBranchGrade[S2], 0)), "") &amp; ""</f>
        <v/>
      </c>
      <c r="T293" s="63">
        <f>--ISNUMBER(IF(StatusBranchGrade[[#This Row],[Spouse0]] = 'Calculation Worksheet'!$CG$6 &amp; "  /  " &amp; 'Calculation Worksheet'!$CG$7, 1, ""))</f>
        <v>0</v>
      </c>
      <c r="U293" s="63" t="str">
        <f>IF(StatusBranchGrade[[#This Row],[T1]] = 1, COUNTIF($T$3:T293, 1), "")</f>
        <v/>
      </c>
      <c r="V293" s="63" t="str">
        <f>IFERROR(INDEX(StatusBranchGrade[Rank/Grade], MATCH(ROWS($U$3:U293)-1, StatusBranchGrade[T2], 0)), "") &amp; ""</f>
        <v/>
      </c>
      <c r="W293" s="63"/>
    </row>
    <row r="294" spans="1:23" x14ac:dyDescent="0.25">
      <c r="A294">
        <v>5</v>
      </c>
      <c r="B294" t="s">
        <v>216</v>
      </c>
      <c r="C294" t="s">
        <v>182</v>
      </c>
      <c r="D294" t="s">
        <v>97</v>
      </c>
      <c r="E294" t="str">
        <f>IF(StatusBranchGrade[[#This Row],[Status]] = "CYS", "DoD", StatusBranchGrade[[#This Row],[Rank]] &amp; "")</f>
        <v>E-9</v>
      </c>
      <c r="F294" t="s">
        <v>97</v>
      </c>
      <c r="G294" t="str">
        <f>IF(StatusBranchGrade[[#This Row],[Rank]] = StatusBranchGrade[[#This Row],[Grade]], StatusBranchGrade[[#This Row],[Rank]], StatusBranchGrade[[#This Row],[Grade]] &amp; "/" &amp; StatusBranchGrade[[#This Row],[Rank]]) &amp; ""</f>
        <v>E-9</v>
      </c>
      <c r="H29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E-9</v>
      </c>
      <c r="I294" s="17" t="str">
        <f>SUBSTITUTE(SUBSTITUTE(SUBSTITUTE(StatusBranchGrade[[#This Row],[Status]] &amp; "  /  " &amp; StatusBranchGrade[[#This Row],[Branch]] &amp; ";", "  /  ;", ";"), "  /  ;", ";"), ";", "")</f>
        <v>Active Duty  /  Navy</v>
      </c>
      <c r="J294">
        <v>12</v>
      </c>
      <c r="K294" s="17" t="str">
        <f>IF(LEFT(StatusBranchGrade[[#This Row],[Which]], 1) = "1", StatusBranchGrade[[#This Row],[Key]], "")</f>
        <v>Active Duty  /  Navy  /  E-9</v>
      </c>
      <c r="L294" s="17" t="str">
        <f>IF(LEFT(StatusBranchGrade[[#This Row],[Which]], 1) = "1", StatusBranchGrade[[#This Row],[Key0]], "")</f>
        <v>Active Duty  /  Navy</v>
      </c>
      <c r="M294" s="17" t="str">
        <f>IF(RIGHT(StatusBranchGrade[[#This Row],[Which]], 1) = "2", StatusBranchGrade[[#This Row],[Key]], "")</f>
        <v>Active Duty  /  Navy  /  E-9</v>
      </c>
      <c r="N294" s="17" t="str">
        <f>IF(RIGHT(StatusBranchGrade[[#This Row],[Which]], 1) = "2", StatusBranchGrade[[#This Row],[Key0]], "")</f>
        <v>Active Duty  /  Navy</v>
      </c>
      <c r="O294" s="17" t="s">
        <v>296</v>
      </c>
      <c r="P294" s="17"/>
      <c r="Q294" s="63">
        <f>--ISNUMBER(IF(StatusBranchGrade[[#This Row],[Sponsor0]] = 'Calculation Worksheet'!$AV$6 &amp; "  /  " &amp; 'Calculation Worksheet'!$AV$7, 1, ""))</f>
        <v>0</v>
      </c>
      <c r="R294" s="63" t="str">
        <f>IF(StatusBranchGrade[[#This Row],[S1]] = 1, COUNTIF($Q$3:Q294, 1), "")</f>
        <v/>
      </c>
      <c r="S294" s="63" t="str">
        <f>IFERROR(INDEX(StatusBranchGrade[Rank/Grade], MATCH(ROWS($R$3:R294)-1, StatusBranchGrade[S2], 0)), "") &amp; ""</f>
        <v/>
      </c>
      <c r="T294" s="63">
        <f>--ISNUMBER(IF(StatusBranchGrade[[#This Row],[Spouse0]] = 'Calculation Worksheet'!$CG$6 &amp; "  /  " &amp; 'Calculation Worksheet'!$CG$7, 1, ""))</f>
        <v>0</v>
      </c>
      <c r="U294" s="63" t="str">
        <f>IF(StatusBranchGrade[[#This Row],[T1]] = 1, COUNTIF($T$3:T294, 1), "")</f>
        <v/>
      </c>
      <c r="V294" s="63" t="str">
        <f>IFERROR(INDEX(StatusBranchGrade[Rank/Grade], MATCH(ROWS($U$3:U294)-1, StatusBranchGrade[T2], 0)), "") &amp; ""</f>
        <v/>
      </c>
      <c r="W294" s="63"/>
    </row>
    <row r="295" spans="1:23" x14ac:dyDescent="0.25">
      <c r="A295">
        <v>5</v>
      </c>
      <c r="B295" t="s">
        <v>216</v>
      </c>
      <c r="C295" t="s">
        <v>182</v>
      </c>
      <c r="D295" t="s">
        <v>91</v>
      </c>
      <c r="E295" t="str">
        <f>IF(StatusBranchGrade[[#This Row],[Status]] = "CYS", "DoD", StatusBranchGrade[[#This Row],[Rank]] &amp; "")</f>
        <v>O-1</v>
      </c>
      <c r="F295" t="s">
        <v>91</v>
      </c>
      <c r="G295" t="str">
        <f>IF(StatusBranchGrade[[#This Row],[Rank]] = StatusBranchGrade[[#This Row],[Grade]], StatusBranchGrade[[#This Row],[Rank]], StatusBranchGrade[[#This Row],[Grade]] &amp; "/" &amp; StatusBranchGrade[[#This Row],[Rank]]) &amp; ""</f>
        <v>O-1</v>
      </c>
      <c r="H29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O-1</v>
      </c>
      <c r="I295" s="17" t="str">
        <f>SUBSTITUTE(SUBSTITUTE(SUBSTITUTE(StatusBranchGrade[[#This Row],[Status]] &amp; "  /  " &amp; StatusBranchGrade[[#This Row],[Branch]] &amp; ";", "  /  ;", ";"), "  /  ;", ";"), ";", "")</f>
        <v>Active Duty  /  Navy</v>
      </c>
      <c r="J295">
        <v>12</v>
      </c>
      <c r="K295" s="17" t="str">
        <f>IF(LEFT(StatusBranchGrade[[#This Row],[Which]], 1) = "1", StatusBranchGrade[[#This Row],[Key]], "")</f>
        <v>Active Duty  /  Navy  /  O-1</v>
      </c>
      <c r="L295" s="17" t="str">
        <f>IF(LEFT(StatusBranchGrade[[#This Row],[Which]], 1) = "1", StatusBranchGrade[[#This Row],[Key0]], "")</f>
        <v>Active Duty  /  Navy</v>
      </c>
      <c r="M295" s="17" t="str">
        <f>IF(RIGHT(StatusBranchGrade[[#This Row],[Which]], 1) = "2", StatusBranchGrade[[#This Row],[Key]], "")</f>
        <v>Active Duty  /  Navy  /  O-1</v>
      </c>
      <c r="N295" s="17" t="str">
        <f>IF(RIGHT(StatusBranchGrade[[#This Row],[Which]], 1) = "2", StatusBranchGrade[[#This Row],[Key0]], "")</f>
        <v>Active Duty  /  Navy</v>
      </c>
      <c r="O295" s="17" t="s">
        <v>296</v>
      </c>
      <c r="P295" s="17"/>
      <c r="Q295" s="63">
        <f>--ISNUMBER(IF(StatusBranchGrade[[#This Row],[Sponsor0]] = 'Calculation Worksheet'!$AV$6 &amp; "  /  " &amp; 'Calculation Worksheet'!$AV$7, 1, ""))</f>
        <v>0</v>
      </c>
      <c r="R295" s="63" t="str">
        <f>IF(StatusBranchGrade[[#This Row],[S1]] = 1, COUNTIF($Q$3:Q295, 1), "")</f>
        <v/>
      </c>
      <c r="S295" s="63" t="str">
        <f>IFERROR(INDEX(StatusBranchGrade[Rank/Grade], MATCH(ROWS($R$3:R295)-1, StatusBranchGrade[S2], 0)), "") &amp; ""</f>
        <v/>
      </c>
      <c r="T295" s="63">
        <f>--ISNUMBER(IF(StatusBranchGrade[[#This Row],[Spouse0]] = 'Calculation Worksheet'!$CG$6 &amp; "  /  " &amp; 'Calculation Worksheet'!$CG$7, 1, ""))</f>
        <v>0</v>
      </c>
      <c r="U295" s="63" t="str">
        <f>IF(StatusBranchGrade[[#This Row],[T1]] = 1, COUNTIF($T$3:T295, 1), "")</f>
        <v/>
      </c>
      <c r="V295" s="63" t="str">
        <f>IFERROR(INDEX(StatusBranchGrade[Rank/Grade], MATCH(ROWS($U$3:U295)-1, StatusBranchGrade[T2], 0)), "") &amp; ""</f>
        <v/>
      </c>
      <c r="W295" s="63"/>
    </row>
    <row r="296" spans="1:23" x14ac:dyDescent="0.25">
      <c r="A296">
        <v>5</v>
      </c>
      <c r="B296" t="s">
        <v>216</v>
      </c>
      <c r="C296" t="s">
        <v>182</v>
      </c>
      <c r="D296" s="75" t="s">
        <v>10</v>
      </c>
      <c r="E296" s="75" t="str">
        <f>IF(StatusBranchGrade[[#This Row],[Status]] = "CYS", "DoD", StatusBranchGrade[[#This Row],[Rank]] &amp; "")</f>
        <v>O1E</v>
      </c>
      <c r="F296" s="75" t="s">
        <v>91</v>
      </c>
      <c r="G296" s="75" t="str">
        <f>IF(StatusBranchGrade[[#This Row],[Rank]] = StatusBranchGrade[[#This Row],[Grade]], StatusBranchGrade[[#This Row],[Rank]], StatusBranchGrade[[#This Row],[Grade]] &amp; "/" &amp; StatusBranchGrade[[#This Row],[Rank]]) &amp; ""</f>
        <v>O-1/O1E</v>
      </c>
      <c r="H29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O-1/O1E</v>
      </c>
      <c r="I296" s="17" t="str">
        <f>SUBSTITUTE(SUBSTITUTE(SUBSTITUTE(StatusBranchGrade[[#This Row],[Status]] &amp; "  /  " &amp; StatusBranchGrade[[#This Row],[Branch]] &amp; ";", "  /  ;", ";"), "  /  ;", ";"), ";", "")</f>
        <v>Active Duty  /  Navy</v>
      </c>
      <c r="J296">
        <v>12</v>
      </c>
      <c r="K296" s="17" t="str">
        <f>IF(LEFT(StatusBranchGrade[[#This Row],[Which]], 1) = "1", StatusBranchGrade[[#This Row],[Key]], "")</f>
        <v>Active Duty  /  Navy  /  O-1/O1E</v>
      </c>
      <c r="L296" s="17" t="str">
        <f>IF(LEFT(StatusBranchGrade[[#This Row],[Which]], 1) = "1", StatusBranchGrade[[#This Row],[Key0]], "")</f>
        <v>Active Duty  /  Navy</v>
      </c>
      <c r="M296" s="17" t="str">
        <f>IF(RIGHT(StatusBranchGrade[[#This Row],[Which]], 1) = "2", StatusBranchGrade[[#This Row],[Key]], "")</f>
        <v>Active Duty  /  Navy  /  O-1/O1E</v>
      </c>
      <c r="N296" s="17" t="str">
        <f>IF(RIGHT(StatusBranchGrade[[#This Row],[Which]], 1) = "2", StatusBranchGrade[[#This Row],[Key0]], "")</f>
        <v>Active Duty  /  Navy</v>
      </c>
      <c r="O296" s="17" t="s">
        <v>296</v>
      </c>
      <c r="P296" s="17"/>
      <c r="Q296" s="63">
        <f>--ISNUMBER(IF(StatusBranchGrade[[#This Row],[Sponsor0]] = 'Calculation Worksheet'!$AV$6 &amp; "  /  " &amp; 'Calculation Worksheet'!$AV$7, 1, ""))</f>
        <v>0</v>
      </c>
      <c r="R296" s="63" t="str">
        <f>IF(StatusBranchGrade[[#This Row],[S1]] = 1, COUNTIF($Q$3:Q296, 1), "")</f>
        <v/>
      </c>
      <c r="S296" s="63" t="str">
        <f>IFERROR(INDEX(StatusBranchGrade[Rank/Grade], MATCH(ROWS($R$3:R296)-1, StatusBranchGrade[S2], 0)), "") &amp; ""</f>
        <v/>
      </c>
      <c r="T296" s="63">
        <f>--ISNUMBER(IF(StatusBranchGrade[[#This Row],[Spouse0]] = 'Calculation Worksheet'!$CG$6 &amp; "  /  " &amp; 'Calculation Worksheet'!$CG$7, 1, ""))</f>
        <v>0</v>
      </c>
      <c r="U296" s="63" t="str">
        <f>IF(StatusBranchGrade[[#This Row],[T1]] = 1, COUNTIF($T$3:T296, 1), "")</f>
        <v/>
      </c>
      <c r="V296" s="63" t="str">
        <f>IFERROR(INDEX(StatusBranchGrade[Rank/Grade], MATCH(ROWS($U$3:U296)-1, StatusBranchGrade[T2], 0)), "") &amp; ""</f>
        <v/>
      </c>
      <c r="W296" s="63"/>
    </row>
    <row r="297" spans="1:23" x14ac:dyDescent="0.25">
      <c r="A297">
        <v>5</v>
      </c>
      <c r="B297" t="s">
        <v>216</v>
      </c>
      <c r="C297" t="s">
        <v>182</v>
      </c>
      <c r="D297" t="s">
        <v>82</v>
      </c>
      <c r="E297" t="str">
        <f>IF(StatusBranchGrade[[#This Row],[Status]] = "CYS", "DoD", StatusBranchGrade[[#This Row],[Rank]] &amp; "")</f>
        <v>O-10</v>
      </c>
      <c r="F297" t="s">
        <v>82</v>
      </c>
      <c r="G297" t="str">
        <f>IF(StatusBranchGrade[[#This Row],[Rank]] = StatusBranchGrade[[#This Row],[Grade]], StatusBranchGrade[[#This Row],[Rank]], StatusBranchGrade[[#This Row],[Grade]] &amp; "/" &amp; StatusBranchGrade[[#This Row],[Rank]]) &amp; ""</f>
        <v>O-10</v>
      </c>
      <c r="H29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O-10</v>
      </c>
      <c r="I297" s="17" t="str">
        <f>SUBSTITUTE(SUBSTITUTE(SUBSTITUTE(StatusBranchGrade[[#This Row],[Status]] &amp; "  /  " &amp; StatusBranchGrade[[#This Row],[Branch]] &amp; ";", "  /  ;", ";"), "  /  ;", ";"), ";", "")</f>
        <v>Active Duty  /  Navy</v>
      </c>
      <c r="J297">
        <v>12</v>
      </c>
      <c r="K297" s="17" t="str">
        <f>IF(LEFT(StatusBranchGrade[[#This Row],[Which]], 1) = "1", StatusBranchGrade[[#This Row],[Key]], "")</f>
        <v>Active Duty  /  Navy  /  O-10</v>
      </c>
      <c r="L297" s="17" t="str">
        <f>IF(LEFT(StatusBranchGrade[[#This Row],[Which]], 1) = "1", StatusBranchGrade[[#This Row],[Key0]], "")</f>
        <v>Active Duty  /  Navy</v>
      </c>
      <c r="M297" s="17" t="str">
        <f>IF(RIGHT(StatusBranchGrade[[#This Row],[Which]], 1) = "2", StatusBranchGrade[[#This Row],[Key]], "")</f>
        <v>Active Duty  /  Navy  /  O-10</v>
      </c>
      <c r="N297" s="17" t="str">
        <f>IF(RIGHT(StatusBranchGrade[[#This Row],[Which]], 1) = "2", StatusBranchGrade[[#This Row],[Key0]], "")</f>
        <v>Active Duty  /  Navy</v>
      </c>
      <c r="O297" s="17" t="s">
        <v>296</v>
      </c>
      <c r="P297" s="17"/>
      <c r="Q297" s="63">
        <f>--ISNUMBER(IF(StatusBranchGrade[[#This Row],[Sponsor0]] = 'Calculation Worksheet'!$AV$6 &amp; "  /  " &amp; 'Calculation Worksheet'!$AV$7, 1, ""))</f>
        <v>0</v>
      </c>
      <c r="R297" s="63" t="str">
        <f>IF(StatusBranchGrade[[#This Row],[S1]] = 1, COUNTIF($Q$3:Q297, 1), "")</f>
        <v/>
      </c>
      <c r="S297" s="63" t="str">
        <f>IFERROR(INDEX(StatusBranchGrade[Rank/Grade], MATCH(ROWS($R$3:R297)-1, StatusBranchGrade[S2], 0)), "") &amp; ""</f>
        <v/>
      </c>
      <c r="T297" s="63">
        <f>--ISNUMBER(IF(StatusBranchGrade[[#This Row],[Spouse0]] = 'Calculation Worksheet'!$CG$6 &amp; "  /  " &amp; 'Calculation Worksheet'!$CG$7, 1, ""))</f>
        <v>0</v>
      </c>
      <c r="U297" s="63" t="str">
        <f>IF(StatusBranchGrade[[#This Row],[T1]] = 1, COUNTIF($T$3:T297, 1), "")</f>
        <v/>
      </c>
      <c r="V297" s="63" t="str">
        <f>IFERROR(INDEX(StatusBranchGrade[Rank/Grade], MATCH(ROWS($U$3:U297)-1, StatusBranchGrade[T2], 0)), "") &amp; ""</f>
        <v/>
      </c>
      <c r="W297" s="63"/>
    </row>
    <row r="298" spans="1:23" x14ac:dyDescent="0.25">
      <c r="A298">
        <v>5</v>
      </c>
      <c r="B298" t="s">
        <v>216</v>
      </c>
      <c r="C298" t="s">
        <v>182</v>
      </c>
      <c r="D298" t="s">
        <v>90</v>
      </c>
      <c r="E298" t="str">
        <f>IF(StatusBranchGrade[[#This Row],[Status]] = "CYS", "DoD", StatusBranchGrade[[#This Row],[Rank]] &amp; "")</f>
        <v>O-2</v>
      </c>
      <c r="F298" t="s">
        <v>90</v>
      </c>
      <c r="G298" t="str">
        <f>IF(StatusBranchGrade[[#This Row],[Rank]] = StatusBranchGrade[[#This Row],[Grade]], StatusBranchGrade[[#This Row],[Rank]], StatusBranchGrade[[#This Row],[Grade]] &amp; "/" &amp; StatusBranchGrade[[#This Row],[Rank]]) &amp; ""</f>
        <v>O-2</v>
      </c>
      <c r="H29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O-2</v>
      </c>
      <c r="I298" s="17" t="str">
        <f>SUBSTITUTE(SUBSTITUTE(SUBSTITUTE(StatusBranchGrade[[#This Row],[Status]] &amp; "  /  " &amp; StatusBranchGrade[[#This Row],[Branch]] &amp; ";", "  /  ;", ";"), "  /  ;", ";"), ";", "")</f>
        <v>Active Duty  /  Navy</v>
      </c>
      <c r="J298">
        <v>12</v>
      </c>
      <c r="K298" s="17" t="str">
        <f>IF(LEFT(StatusBranchGrade[[#This Row],[Which]], 1) = "1", StatusBranchGrade[[#This Row],[Key]], "")</f>
        <v>Active Duty  /  Navy  /  O-2</v>
      </c>
      <c r="L298" s="17" t="str">
        <f>IF(LEFT(StatusBranchGrade[[#This Row],[Which]], 1) = "1", StatusBranchGrade[[#This Row],[Key0]], "")</f>
        <v>Active Duty  /  Navy</v>
      </c>
      <c r="M298" s="17" t="str">
        <f>IF(RIGHT(StatusBranchGrade[[#This Row],[Which]], 1) = "2", StatusBranchGrade[[#This Row],[Key]], "")</f>
        <v>Active Duty  /  Navy  /  O-2</v>
      </c>
      <c r="N298" s="17" t="str">
        <f>IF(RIGHT(StatusBranchGrade[[#This Row],[Which]], 1) = "2", StatusBranchGrade[[#This Row],[Key0]], "")</f>
        <v>Active Duty  /  Navy</v>
      </c>
      <c r="O298" s="17" t="s">
        <v>296</v>
      </c>
      <c r="P298" s="17"/>
      <c r="Q298" s="63">
        <f>--ISNUMBER(IF(StatusBranchGrade[[#This Row],[Sponsor0]] = 'Calculation Worksheet'!$AV$6 &amp; "  /  " &amp; 'Calculation Worksheet'!$AV$7, 1, ""))</f>
        <v>0</v>
      </c>
      <c r="R298" s="63" t="str">
        <f>IF(StatusBranchGrade[[#This Row],[S1]] = 1, COUNTIF($Q$3:Q298, 1), "")</f>
        <v/>
      </c>
      <c r="S298" s="63" t="str">
        <f>IFERROR(INDEX(StatusBranchGrade[Rank/Grade], MATCH(ROWS($R$3:R298)-1, StatusBranchGrade[S2], 0)), "") &amp; ""</f>
        <v/>
      </c>
      <c r="T298" s="63">
        <f>--ISNUMBER(IF(StatusBranchGrade[[#This Row],[Spouse0]] = 'Calculation Worksheet'!$CG$6 &amp; "  /  " &amp; 'Calculation Worksheet'!$CG$7, 1, ""))</f>
        <v>0</v>
      </c>
      <c r="U298" s="63" t="str">
        <f>IF(StatusBranchGrade[[#This Row],[T1]] = 1, COUNTIF($T$3:T298, 1), "")</f>
        <v/>
      </c>
      <c r="V298" s="63" t="str">
        <f>IFERROR(INDEX(StatusBranchGrade[Rank/Grade], MATCH(ROWS($U$3:U298)-1, StatusBranchGrade[T2], 0)), "") &amp; ""</f>
        <v/>
      </c>
      <c r="W298" s="63"/>
    </row>
    <row r="299" spans="1:23" x14ac:dyDescent="0.25">
      <c r="A299">
        <v>5</v>
      </c>
      <c r="B299" t="s">
        <v>216</v>
      </c>
      <c r="C299" t="s">
        <v>182</v>
      </c>
      <c r="D299" s="75" t="s">
        <v>11</v>
      </c>
      <c r="E299" s="75" t="str">
        <f>IF(StatusBranchGrade[[#This Row],[Status]] = "CYS", "DoD", StatusBranchGrade[[#This Row],[Rank]] &amp; "")</f>
        <v>O2E</v>
      </c>
      <c r="F299" s="75" t="s">
        <v>90</v>
      </c>
      <c r="G299" s="75" t="str">
        <f>IF(StatusBranchGrade[[#This Row],[Rank]] = StatusBranchGrade[[#This Row],[Grade]], StatusBranchGrade[[#This Row],[Rank]], StatusBranchGrade[[#This Row],[Grade]] &amp; "/" &amp; StatusBranchGrade[[#This Row],[Rank]]) &amp; ""</f>
        <v>O-2/O2E</v>
      </c>
      <c r="H29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O-2/O2E</v>
      </c>
      <c r="I299" s="17" t="str">
        <f>SUBSTITUTE(SUBSTITUTE(SUBSTITUTE(StatusBranchGrade[[#This Row],[Status]] &amp; "  /  " &amp; StatusBranchGrade[[#This Row],[Branch]] &amp; ";", "  /  ;", ";"), "  /  ;", ";"), ";", "")</f>
        <v>Active Duty  /  Navy</v>
      </c>
      <c r="J299">
        <v>12</v>
      </c>
      <c r="K299" s="17" t="str">
        <f>IF(LEFT(StatusBranchGrade[[#This Row],[Which]], 1) = "1", StatusBranchGrade[[#This Row],[Key]], "")</f>
        <v>Active Duty  /  Navy  /  O-2/O2E</v>
      </c>
      <c r="L299" s="17" t="str">
        <f>IF(LEFT(StatusBranchGrade[[#This Row],[Which]], 1) = "1", StatusBranchGrade[[#This Row],[Key0]], "")</f>
        <v>Active Duty  /  Navy</v>
      </c>
      <c r="M299" s="17" t="str">
        <f>IF(RIGHT(StatusBranchGrade[[#This Row],[Which]], 1) = "2", StatusBranchGrade[[#This Row],[Key]], "")</f>
        <v>Active Duty  /  Navy  /  O-2/O2E</v>
      </c>
      <c r="N299" s="17" t="str">
        <f>IF(RIGHT(StatusBranchGrade[[#This Row],[Which]], 1) = "2", StatusBranchGrade[[#This Row],[Key0]], "")</f>
        <v>Active Duty  /  Navy</v>
      </c>
      <c r="O299" s="17" t="s">
        <v>296</v>
      </c>
      <c r="P299" s="17"/>
      <c r="Q299" s="63">
        <f>--ISNUMBER(IF(StatusBranchGrade[[#This Row],[Sponsor0]] = 'Calculation Worksheet'!$AV$6 &amp; "  /  " &amp; 'Calculation Worksheet'!$AV$7, 1, ""))</f>
        <v>0</v>
      </c>
      <c r="R299" s="63" t="str">
        <f>IF(StatusBranchGrade[[#This Row],[S1]] = 1, COUNTIF($Q$3:Q299, 1), "")</f>
        <v/>
      </c>
      <c r="S299" s="63" t="str">
        <f>IFERROR(INDEX(StatusBranchGrade[Rank/Grade], MATCH(ROWS($R$3:R299)-1, StatusBranchGrade[S2], 0)), "") &amp; ""</f>
        <v/>
      </c>
      <c r="T299" s="63">
        <f>--ISNUMBER(IF(StatusBranchGrade[[#This Row],[Spouse0]] = 'Calculation Worksheet'!$CG$6 &amp; "  /  " &amp; 'Calculation Worksheet'!$CG$7, 1, ""))</f>
        <v>0</v>
      </c>
      <c r="U299" s="63" t="str">
        <f>IF(StatusBranchGrade[[#This Row],[T1]] = 1, COUNTIF($T$3:T299, 1), "")</f>
        <v/>
      </c>
      <c r="V299" s="63" t="str">
        <f>IFERROR(INDEX(StatusBranchGrade[Rank/Grade], MATCH(ROWS($U$3:U299)-1, StatusBranchGrade[T2], 0)), "") &amp; ""</f>
        <v/>
      </c>
      <c r="W299" s="63"/>
    </row>
    <row r="300" spans="1:23" x14ac:dyDescent="0.25">
      <c r="A300">
        <v>5</v>
      </c>
      <c r="B300" t="s">
        <v>216</v>
      </c>
      <c r="C300" t="s">
        <v>182</v>
      </c>
      <c r="D300" t="s">
        <v>89</v>
      </c>
      <c r="E300" t="str">
        <f>IF(StatusBranchGrade[[#This Row],[Status]] = "CYS", "DoD", StatusBranchGrade[[#This Row],[Rank]] &amp; "")</f>
        <v>O-3</v>
      </c>
      <c r="F300" t="s">
        <v>89</v>
      </c>
      <c r="G300" t="str">
        <f>IF(StatusBranchGrade[[#This Row],[Rank]] = StatusBranchGrade[[#This Row],[Grade]], StatusBranchGrade[[#This Row],[Rank]], StatusBranchGrade[[#This Row],[Grade]] &amp; "/" &amp; StatusBranchGrade[[#This Row],[Rank]]) &amp; ""</f>
        <v>O-3</v>
      </c>
      <c r="H30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O-3</v>
      </c>
      <c r="I300" s="17" t="str">
        <f>SUBSTITUTE(SUBSTITUTE(SUBSTITUTE(StatusBranchGrade[[#This Row],[Status]] &amp; "  /  " &amp; StatusBranchGrade[[#This Row],[Branch]] &amp; ";", "  /  ;", ";"), "  /  ;", ";"), ";", "")</f>
        <v>Active Duty  /  Navy</v>
      </c>
      <c r="J300">
        <v>12</v>
      </c>
      <c r="K300" s="17" t="str">
        <f>IF(LEFT(StatusBranchGrade[[#This Row],[Which]], 1) = "1", StatusBranchGrade[[#This Row],[Key]], "")</f>
        <v>Active Duty  /  Navy  /  O-3</v>
      </c>
      <c r="L300" s="17" t="str">
        <f>IF(LEFT(StatusBranchGrade[[#This Row],[Which]], 1) = "1", StatusBranchGrade[[#This Row],[Key0]], "")</f>
        <v>Active Duty  /  Navy</v>
      </c>
      <c r="M300" s="17" t="str">
        <f>IF(RIGHT(StatusBranchGrade[[#This Row],[Which]], 1) = "2", StatusBranchGrade[[#This Row],[Key]], "")</f>
        <v>Active Duty  /  Navy  /  O-3</v>
      </c>
      <c r="N300" s="17" t="str">
        <f>IF(RIGHT(StatusBranchGrade[[#This Row],[Which]], 1) = "2", StatusBranchGrade[[#This Row],[Key0]], "")</f>
        <v>Active Duty  /  Navy</v>
      </c>
      <c r="O300" s="17" t="s">
        <v>296</v>
      </c>
      <c r="P300" s="17"/>
      <c r="Q300" s="63">
        <f>--ISNUMBER(IF(StatusBranchGrade[[#This Row],[Sponsor0]] = 'Calculation Worksheet'!$AV$6 &amp; "  /  " &amp; 'Calculation Worksheet'!$AV$7, 1, ""))</f>
        <v>0</v>
      </c>
      <c r="R300" s="63" t="str">
        <f>IF(StatusBranchGrade[[#This Row],[S1]] = 1, COUNTIF($Q$3:Q300, 1), "")</f>
        <v/>
      </c>
      <c r="S300" s="63" t="str">
        <f>IFERROR(INDEX(StatusBranchGrade[Rank/Grade], MATCH(ROWS($R$3:R300)-1, StatusBranchGrade[S2], 0)), "") &amp; ""</f>
        <v/>
      </c>
      <c r="T300" s="63">
        <f>--ISNUMBER(IF(StatusBranchGrade[[#This Row],[Spouse0]] = 'Calculation Worksheet'!$CG$6 &amp; "  /  " &amp; 'Calculation Worksheet'!$CG$7, 1, ""))</f>
        <v>0</v>
      </c>
      <c r="U300" s="63" t="str">
        <f>IF(StatusBranchGrade[[#This Row],[T1]] = 1, COUNTIF($T$3:T300, 1), "")</f>
        <v/>
      </c>
      <c r="V300" s="63" t="str">
        <f>IFERROR(INDEX(StatusBranchGrade[Rank/Grade], MATCH(ROWS($U$3:U300)-1, StatusBranchGrade[T2], 0)), "") &amp; ""</f>
        <v/>
      </c>
      <c r="W300" s="63"/>
    </row>
    <row r="301" spans="1:23" x14ac:dyDescent="0.25">
      <c r="A301">
        <v>5</v>
      </c>
      <c r="B301" t="s">
        <v>216</v>
      </c>
      <c r="C301" t="s">
        <v>182</v>
      </c>
      <c r="D301" s="75" t="s">
        <v>12</v>
      </c>
      <c r="E301" s="75" t="str">
        <f>IF(StatusBranchGrade[[#This Row],[Status]] = "CYS", "DoD", StatusBranchGrade[[#This Row],[Rank]] &amp; "")</f>
        <v>O3E</v>
      </c>
      <c r="F301" s="75" t="s">
        <v>89</v>
      </c>
      <c r="G301" s="75" t="str">
        <f>IF(StatusBranchGrade[[#This Row],[Rank]] = StatusBranchGrade[[#This Row],[Grade]], StatusBranchGrade[[#This Row],[Rank]], StatusBranchGrade[[#This Row],[Grade]] &amp; "/" &amp; StatusBranchGrade[[#This Row],[Rank]]) &amp; ""</f>
        <v>O-3/O3E</v>
      </c>
      <c r="H30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O-3/O3E</v>
      </c>
      <c r="I301" s="17" t="str">
        <f>SUBSTITUTE(SUBSTITUTE(SUBSTITUTE(StatusBranchGrade[[#This Row],[Status]] &amp; "  /  " &amp; StatusBranchGrade[[#This Row],[Branch]] &amp; ";", "  /  ;", ";"), "  /  ;", ";"), ";", "")</f>
        <v>Active Duty  /  Navy</v>
      </c>
      <c r="J301">
        <v>12</v>
      </c>
      <c r="K301" s="17" t="str">
        <f>IF(LEFT(StatusBranchGrade[[#This Row],[Which]], 1) = "1", StatusBranchGrade[[#This Row],[Key]], "")</f>
        <v>Active Duty  /  Navy  /  O-3/O3E</v>
      </c>
      <c r="L301" s="17" t="str">
        <f>IF(LEFT(StatusBranchGrade[[#This Row],[Which]], 1) = "1", StatusBranchGrade[[#This Row],[Key0]], "")</f>
        <v>Active Duty  /  Navy</v>
      </c>
      <c r="M301" s="17" t="str">
        <f>IF(RIGHT(StatusBranchGrade[[#This Row],[Which]], 1) = "2", StatusBranchGrade[[#This Row],[Key]], "")</f>
        <v>Active Duty  /  Navy  /  O-3/O3E</v>
      </c>
      <c r="N301" s="17" t="str">
        <f>IF(RIGHT(StatusBranchGrade[[#This Row],[Which]], 1) = "2", StatusBranchGrade[[#This Row],[Key0]], "")</f>
        <v>Active Duty  /  Navy</v>
      </c>
      <c r="O301" s="17" t="s">
        <v>296</v>
      </c>
      <c r="P301" s="17"/>
      <c r="Q301" s="63">
        <f>--ISNUMBER(IF(StatusBranchGrade[[#This Row],[Sponsor0]] = 'Calculation Worksheet'!$AV$6 &amp; "  /  " &amp; 'Calculation Worksheet'!$AV$7, 1, ""))</f>
        <v>0</v>
      </c>
      <c r="R301" s="63" t="str">
        <f>IF(StatusBranchGrade[[#This Row],[S1]] = 1, COUNTIF($Q$3:Q301, 1), "")</f>
        <v/>
      </c>
      <c r="S301" s="63" t="str">
        <f>IFERROR(INDEX(StatusBranchGrade[Rank/Grade], MATCH(ROWS($R$3:R301)-1, StatusBranchGrade[S2], 0)), "") &amp; ""</f>
        <v/>
      </c>
      <c r="T301" s="63">
        <f>--ISNUMBER(IF(StatusBranchGrade[[#This Row],[Spouse0]] = 'Calculation Worksheet'!$CG$6 &amp; "  /  " &amp; 'Calculation Worksheet'!$CG$7, 1, ""))</f>
        <v>0</v>
      </c>
      <c r="U301" s="63" t="str">
        <f>IF(StatusBranchGrade[[#This Row],[T1]] = 1, COUNTIF($T$3:T301, 1), "")</f>
        <v/>
      </c>
      <c r="V301" s="63" t="str">
        <f>IFERROR(INDEX(StatusBranchGrade[Rank/Grade], MATCH(ROWS($U$3:U301)-1, StatusBranchGrade[T2], 0)), "") &amp; ""</f>
        <v/>
      </c>
      <c r="W301" s="63"/>
    </row>
    <row r="302" spans="1:23" x14ac:dyDescent="0.25">
      <c r="A302">
        <v>5</v>
      </c>
      <c r="B302" t="s">
        <v>216</v>
      </c>
      <c r="C302" t="s">
        <v>182</v>
      </c>
      <c r="D302" t="s">
        <v>88</v>
      </c>
      <c r="E302" t="str">
        <f>IF(StatusBranchGrade[[#This Row],[Status]] = "CYS", "DoD", StatusBranchGrade[[#This Row],[Rank]] &amp; "")</f>
        <v>O-4</v>
      </c>
      <c r="F302" t="s">
        <v>88</v>
      </c>
      <c r="G302" t="str">
        <f>IF(StatusBranchGrade[[#This Row],[Rank]] = StatusBranchGrade[[#This Row],[Grade]], StatusBranchGrade[[#This Row],[Rank]], StatusBranchGrade[[#This Row],[Grade]] &amp; "/" &amp; StatusBranchGrade[[#This Row],[Rank]]) &amp; ""</f>
        <v>O-4</v>
      </c>
      <c r="H30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O-4</v>
      </c>
      <c r="I302" s="17" t="str">
        <f>SUBSTITUTE(SUBSTITUTE(SUBSTITUTE(StatusBranchGrade[[#This Row],[Status]] &amp; "  /  " &amp; StatusBranchGrade[[#This Row],[Branch]] &amp; ";", "  /  ;", ";"), "  /  ;", ";"), ";", "")</f>
        <v>Active Duty  /  Navy</v>
      </c>
      <c r="J302">
        <v>12</v>
      </c>
      <c r="K302" s="17" t="str">
        <f>IF(LEFT(StatusBranchGrade[[#This Row],[Which]], 1) = "1", StatusBranchGrade[[#This Row],[Key]], "")</f>
        <v>Active Duty  /  Navy  /  O-4</v>
      </c>
      <c r="L302" s="17" t="str">
        <f>IF(LEFT(StatusBranchGrade[[#This Row],[Which]], 1) = "1", StatusBranchGrade[[#This Row],[Key0]], "")</f>
        <v>Active Duty  /  Navy</v>
      </c>
      <c r="M302" s="17" t="str">
        <f>IF(RIGHT(StatusBranchGrade[[#This Row],[Which]], 1) = "2", StatusBranchGrade[[#This Row],[Key]], "")</f>
        <v>Active Duty  /  Navy  /  O-4</v>
      </c>
      <c r="N302" s="17" t="str">
        <f>IF(RIGHT(StatusBranchGrade[[#This Row],[Which]], 1) = "2", StatusBranchGrade[[#This Row],[Key0]], "")</f>
        <v>Active Duty  /  Navy</v>
      </c>
      <c r="O302" s="17" t="s">
        <v>296</v>
      </c>
      <c r="P302" s="17"/>
      <c r="Q302" s="63">
        <f>--ISNUMBER(IF(StatusBranchGrade[[#This Row],[Sponsor0]] = 'Calculation Worksheet'!$AV$6 &amp; "  /  " &amp; 'Calculation Worksheet'!$AV$7, 1, ""))</f>
        <v>0</v>
      </c>
      <c r="R302" s="63" t="str">
        <f>IF(StatusBranchGrade[[#This Row],[S1]] = 1, COUNTIF($Q$3:Q302, 1), "")</f>
        <v/>
      </c>
      <c r="S302" s="63" t="str">
        <f>IFERROR(INDEX(StatusBranchGrade[Rank/Grade], MATCH(ROWS($R$3:R302)-1, StatusBranchGrade[S2], 0)), "") &amp; ""</f>
        <v/>
      </c>
      <c r="T302" s="63">
        <f>--ISNUMBER(IF(StatusBranchGrade[[#This Row],[Spouse0]] = 'Calculation Worksheet'!$CG$6 &amp; "  /  " &amp; 'Calculation Worksheet'!$CG$7, 1, ""))</f>
        <v>0</v>
      </c>
      <c r="U302" s="63" t="str">
        <f>IF(StatusBranchGrade[[#This Row],[T1]] = 1, COUNTIF($T$3:T302, 1), "")</f>
        <v/>
      </c>
      <c r="V302" s="63" t="str">
        <f>IFERROR(INDEX(StatusBranchGrade[Rank/Grade], MATCH(ROWS($U$3:U302)-1, StatusBranchGrade[T2], 0)), "") &amp; ""</f>
        <v/>
      </c>
      <c r="W302" s="63"/>
    </row>
    <row r="303" spans="1:23" x14ac:dyDescent="0.25">
      <c r="A303">
        <v>5</v>
      </c>
      <c r="B303" t="s">
        <v>216</v>
      </c>
      <c r="C303" t="s">
        <v>182</v>
      </c>
      <c r="D303" t="s">
        <v>87</v>
      </c>
      <c r="E303" t="str">
        <f>IF(StatusBranchGrade[[#This Row],[Status]] = "CYS", "DoD", StatusBranchGrade[[#This Row],[Rank]] &amp; "")</f>
        <v>O-5</v>
      </c>
      <c r="F303" t="s">
        <v>87</v>
      </c>
      <c r="G303" t="str">
        <f>IF(StatusBranchGrade[[#This Row],[Rank]] = StatusBranchGrade[[#This Row],[Grade]], StatusBranchGrade[[#This Row],[Rank]], StatusBranchGrade[[#This Row],[Grade]] &amp; "/" &amp; StatusBranchGrade[[#This Row],[Rank]]) &amp; ""</f>
        <v>O-5</v>
      </c>
      <c r="H30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O-5</v>
      </c>
      <c r="I303" s="17" t="str">
        <f>SUBSTITUTE(SUBSTITUTE(SUBSTITUTE(StatusBranchGrade[[#This Row],[Status]] &amp; "  /  " &amp; StatusBranchGrade[[#This Row],[Branch]] &amp; ";", "  /  ;", ";"), "  /  ;", ";"), ";", "")</f>
        <v>Active Duty  /  Navy</v>
      </c>
      <c r="J303">
        <v>12</v>
      </c>
      <c r="K303" s="17" t="str">
        <f>IF(LEFT(StatusBranchGrade[[#This Row],[Which]], 1) = "1", StatusBranchGrade[[#This Row],[Key]], "")</f>
        <v>Active Duty  /  Navy  /  O-5</v>
      </c>
      <c r="L303" s="17" t="str">
        <f>IF(LEFT(StatusBranchGrade[[#This Row],[Which]], 1) = "1", StatusBranchGrade[[#This Row],[Key0]], "")</f>
        <v>Active Duty  /  Navy</v>
      </c>
      <c r="M303" s="17" t="str">
        <f>IF(RIGHT(StatusBranchGrade[[#This Row],[Which]], 1) = "2", StatusBranchGrade[[#This Row],[Key]], "")</f>
        <v>Active Duty  /  Navy  /  O-5</v>
      </c>
      <c r="N303" s="17" t="str">
        <f>IF(RIGHT(StatusBranchGrade[[#This Row],[Which]], 1) = "2", StatusBranchGrade[[#This Row],[Key0]], "")</f>
        <v>Active Duty  /  Navy</v>
      </c>
      <c r="O303" s="17" t="s">
        <v>296</v>
      </c>
      <c r="P303" s="17"/>
      <c r="Q303" s="63">
        <f>--ISNUMBER(IF(StatusBranchGrade[[#This Row],[Sponsor0]] = 'Calculation Worksheet'!$AV$6 &amp; "  /  " &amp; 'Calculation Worksheet'!$AV$7, 1, ""))</f>
        <v>0</v>
      </c>
      <c r="R303" s="63" t="str">
        <f>IF(StatusBranchGrade[[#This Row],[S1]] = 1, COUNTIF($Q$3:Q303, 1), "")</f>
        <v/>
      </c>
      <c r="S303" s="63" t="str">
        <f>IFERROR(INDEX(StatusBranchGrade[Rank/Grade], MATCH(ROWS($R$3:R303)-1, StatusBranchGrade[S2], 0)), "") &amp; ""</f>
        <v/>
      </c>
      <c r="T303" s="63">
        <f>--ISNUMBER(IF(StatusBranchGrade[[#This Row],[Spouse0]] = 'Calculation Worksheet'!$CG$6 &amp; "  /  " &amp; 'Calculation Worksheet'!$CG$7, 1, ""))</f>
        <v>0</v>
      </c>
      <c r="U303" s="63" t="str">
        <f>IF(StatusBranchGrade[[#This Row],[T1]] = 1, COUNTIF($T$3:T303, 1), "")</f>
        <v/>
      </c>
      <c r="V303" s="63" t="str">
        <f>IFERROR(INDEX(StatusBranchGrade[Rank/Grade], MATCH(ROWS($U$3:U303)-1, StatusBranchGrade[T2], 0)), "") &amp; ""</f>
        <v/>
      </c>
      <c r="W303" s="63"/>
    </row>
    <row r="304" spans="1:23" x14ac:dyDescent="0.25">
      <c r="A304">
        <v>5</v>
      </c>
      <c r="B304" t="s">
        <v>216</v>
      </c>
      <c r="C304" t="s">
        <v>182</v>
      </c>
      <c r="D304" t="s">
        <v>86</v>
      </c>
      <c r="E304" t="str">
        <f>IF(StatusBranchGrade[[#This Row],[Status]] = "CYS", "DoD", StatusBranchGrade[[#This Row],[Rank]] &amp; "")</f>
        <v>O-6</v>
      </c>
      <c r="F304" t="s">
        <v>86</v>
      </c>
      <c r="G304" t="str">
        <f>IF(StatusBranchGrade[[#This Row],[Rank]] = StatusBranchGrade[[#This Row],[Grade]], StatusBranchGrade[[#This Row],[Rank]], StatusBranchGrade[[#This Row],[Grade]] &amp; "/" &amp; StatusBranchGrade[[#This Row],[Rank]]) &amp; ""</f>
        <v>O-6</v>
      </c>
      <c r="H30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O-6</v>
      </c>
      <c r="I304" s="17" t="str">
        <f>SUBSTITUTE(SUBSTITUTE(SUBSTITUTE(StatusBranchGrade[[#This Row],[Status]] &amp; "  /  " &amp; StatusBranchGrade[[#This Row],[Branch]] &amp; ";", "  /  ;", ";"), "  /  ;", ";"), ";", "")</f>
        <v>Active Duty  /  Navy</v>
      </c>
      <c r="J304">
        <v>12</v>
      </c>
      <c r="K304" s="17" t="str">
        <f>IF(LEFT(StatusBranchGrade[[#This Row],[Which]], 1) = "1", StatusBranchGrade[[#This Row],[Key]], "")</f>
        <v>Active Duty  /  Navy  /  O-6</v>
      </c>
      <c r="L304" s="17" t="str">
        <f>IF(LEFT(StatusBranchGrade[[#This Row],[Which]], 1) = "1", StatusBranchGrade[[#This Row],[Key0]], "")</f>
        <v>Active Duty  /  Navy</v>
      </c>
      <c r="M304" s="17" t="str">
        <f>IF(RIGHT(StatusBranchGrade[[#This Row],[Which]], 1) = "2", StatusBranchGrade[[#This Row],[Key]], "")</f>
        <v>Active Duty  /  Navy  /  O-6</v>
      </c>
      <c r="N304" s="17" t="str">
        <f>IF(RIGHT(StatusBranchGrade[[#This Row],[Which]], 1) = "2", StatusBranchGrade[[#This Row],[Key0]], "")</f>
        <v>Active Duty  /  Navy</v>
      </c>
      <c r="O304" s="17" t="s">
        <v>296</v>
      </c>
      <c r="P304" s="17"/>
      <c r="Q304" s="63">
        <f>--ISNUMBER(IF(StatusBranchGrade[[#This Row],[Sponsor0]] = 'Calculation Worksheet'!$AV$6 &amp; "  /  " &amp; 'Calculation Worksheet'!$AV$7, 1, ""))</f>
        <v>0</v>
      </c>
      <c r="R304" s="63" t="str">
        <f>IF(StatusBranchGrade[[#This Row],[S1]] = 1, COUNTIF($Q$3:Q304, 1), "")</f>
        <v/>
      </c>
      <c r="S304" s="63" t="str">
        <f>IFERROR(INDEX(StatusBranchGrade[Rank/Grade], MATCH(ROWS($R$3:R304)-1, StatusBranchGrade[S2], 0)), "") &amp; ""</f>
        <v/>
      </c>
      <c r="T304" s="63">
        <f>--ISNUMBER(IF(StatusBranchGrade[[#This Row],[Spouse0]] = 'Calculation Worksheet'!$CG$6 &amp; "  /  " &amp; 'Calculation Worksheet'!$CG$7, 1, ""))</f>
        <v>0</v>
      </c>
      <c r="U304" s="63" t="str">
        <f>IF(StatusBranchGrade[[#This Row],[T1]] = 1, COUNTIF($T$3:T304, 1), "")</f>
        <v/>
      </c>
      <c r="V304" s="63" t="str">
        <f>IFERROR(INDEX(StatusBranchGrade[Rank/Grade], MATCH(ROWS($U$3:U304)-1, StatusBranchGrade[T2], 0)), "") &amp; ""</f>
        <v/>
      </c>
      <c r="W304" s="63"/>
    </row>
    <row r="305" spans="1:23" x14ac:dyDescent="0.25">
      <c r="A305">
        <v>5</v>
      </c>
      <c r="B305" t="s">
        <v>216</v>
      </c>
      <c r="C305" t="s">
        <v>182</v>
      </c>
      <c r="D305" t="s">
        <v>85</v>
      </c>
      <c r="E305" t="str">
        <f>IF(StatusBranchGrade[[#This Row],[Status]] = "CYS", "DoD", StatusBranchGrade[[#This Row],[Rank]] &amp; "")</f>
        <v>O-7</v>
      </c>
      <c r="F305" t="s">
        <v>85</v>
      </c>
      <c r="G305" t="str">
        <f>IF(StatusBranchGrade[[#This Row],[Rank]] = StatusBranchGrade[[#This Row],[Grade]], StatusBranchGrade[[#This Row],[Rank]], StatusBranchGrade[[#This Row],[Grade]] &amp; "/" &amp; StatusBranchGrade[[#This Row],[Rank]]) &amp; ""</f>
        <v>O-7</v>
      </c>
      <c r="H30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O-7</v>
      </c>
      <c r="I305" s="17" t="str">
        <f>SUBSTITUTE(SUBSTITUTE(SUBSTITUTE(StatusBranchGrade[[#This Row],[Status]] &amp; "  /  " &amp; StatusBranchGrade[[#This Row],[Branch]] &amp; ";", "  /  ;", ";"), "  /  ;", ";"), ";", "")</f>
        <v>Active Duty  /  Navy</v>
      </c>
      <c r="J305">
        <v>12</v>
      </c>
      <c r="K305" s="17" t="str">
        <f>IF(LEFT(StatusBranchGrade[[#This Row],[Which]], 1) = "1", StatusBranchGrade[[#This Row],[Key]], "")</f>
        <v>Active Duty  /  Navy  /  O-7</v>
      </c>
      <c r="L305" s="17" t="str">
        <f>IF(LEFT(StatusBranchGrade[[#This Row],[Which]], 1) = "1", StatusBranchGrade[[#This Row],[Key0]], "")</f>
        <v>Active Duty  /  Navy</v>
      </c>
      <c r="M305" s="17" t="str">
        <f>IF(RIGHT(StatusBranchGrade[[#This Row],[Which]], 1) = "2", StatusBranchGrade[[#This Row],[Key]], "")</f>
        <v>Active Duty  /  Navy  /  O-7</v>
      </c>
      <c r="N305" s="17" t="str">
        <f>IF(RIGHT(StatusBranchGrade[[#This Row],[Which]], 1) = "2", StatusBranchGrade[[#This Row],[Key0]], "")</f>
        <v>Active Duty  /  Navy</v>
      </c>
      <c r="O305" s="17" t="s">
        <v>296</v>
      </c>
      <c r="P305" s="17"/>
      <c r="Q305" s="63">
        <f>--ISNUMBER(IF(StatusBranchGrade[[#This Row],[Sponsor0]] = 'Calculation Worksheet'!$AV$6 &amp; "  /  " &amp; 'Calculation Worksheet'!$AV$7, 1, ""))</f>
        <v>0</v>
      </c>
      <c r="R305" s="63" t="str">
        <f>IF(StatusBranchGrade[[#This Row],[S1]] = 1, COUNTIF($Q$3:Q305, 1), "")</f>
        <v/>
      </c>
      <c r="S305" s="63" t="str">
        <f>IFERROR(INDEX(StatusBranchGrade[Rank/Grade], MATCH(ROWS($R$3:R305)-1, StatusBranchGrade[S2], 0)), "") &amp; ""</f>
        <v/>
      </c>
      <c r="T305" s="63">
        <f>--ISNUMBER(IF(StatusBranchGrade[[#This Row],[Spouse0]] = 'Calculation Worksheet'!$CG$6 &amp; "  /  " &amp; 'Calculation Worksheet'!$CG$7, 1, ""))</f>
        <v>0</v>
      </c>
      <c r="U305" s="63" t="str">
        <f>IF(StatusBranchGrade[[#This Row],[T1]] = 1, COUNTIF($T$3:T305, 1), "")</f>
        <v/>
      </c>
      <c r="V305" s="63" t="str">
        <f>IFERROR(INDEX(StatusBranchGrade[Rank/Grade], MATCH(ROWS($U$3:U305)-1, StatusBranchGrade[T2], 0)), "") &amp; ""</f>
        <v/>
      </c>
      <c r="W305" s="63"/>
    </row>
    <row r="306" spans="1:23" x14ac:dyDescent="0.25">
      <c r="A306">
        <v>5</v>
      </c>
      <c r="B306" t="s">
        <v>216</v>
      </c>
      <c r="C306" t="s">
        <v>182</v>
      </c>
      <c r="D306" t="s">
        <v>84</v>
      </c>
      <c r="E306" t="str">
        <f>IF(StatusBranchGrade[[#This Row],[Status]] = "CYS", "DoD", StatusBranchGrade[[#This Row],[Rank]] &amp; "")</f>
        <v>O-8</v>
      </c>
      <c r="F306" t="s">
        <v>84</v>
      </c>
      <c r="G306" t="str">
        <f>IF(StatusBranchGrade[[#This Row],[Rank]] = StatusBranchGrade[[#This Row],[Grade]], StatusBranchGrade[[#This Row],[Rank]], StatusBranchGrade[[#This Row],[Grade]] &amp; "/" &amp; StatusBranchGrade[[#This Row],[Rank]]) &amp; ""</f>
        <v>O-8</v>
      </c>
      <c r="H30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O-8</v>
      </c>
      <c r="I306" s="17" t="str">
        <f>SUBSTITUTE(SUBSTITUTE(SUBSTITUTE(StatusBranchGrade[[#This Row],[Status]] &amp; "  /  " &amp; StatusBranchGrade[[#This Row],[Branch]] &amp; ";", "  /  ;", ";"), "  /  ;", ";"), ";", "")</f>
        <v>Active Duty  /  Navy</v>
      </c>
      <c r="J306">
        <v>12</v>
      </c>
      <c r="K306" s="17" t="str">
        <f>IF(LEFT(StatusBranchGrade[[#This Row],[Which]], 1) = "1", StatusBranchGrade[[#This Row],[Key]], "")</f>
        <v>Active Duty  /  Navy  /  O-8</v>
      </c>
      <c r="L306" s="17" t="str">
        <f>IF(LEFT(StatusBranchGrade[[#This Row],[Which]], 1) = "1", StatusBranchGrade[[#This Row],[Key0]], "")</f>
        <v>Active Duty  /  Navy</v>
      </c>
      <c r="M306" s="17" t="str">
        <f>IF(RIGHT(StatusBranchGrade[[#This Row],[Which]], 1) = "2", StatusBranchGrade[[#This Row],[Key]], "")</f>
        <v>Active Duty  /  Navy  /  O-8</v>
      </c>
      <c r="N306" s="17" t="str">
        <f>IF(RIGHT(StatusBranchGrade[[#This Row],[Which]], 1) = "2", StatusBranchGrade[[#This Row],[Key0]], "")</f>
        <v>Active Duty  /  Navy</v>
      </c>
      <c r="O306" s="17" t="s">
        <v>296</v>
      </c>
      <c r="P306" s="17"/>
      <c r="Q306" s="63">
        <f>--ISNUMBER(IF(StatusBranchGrade[[#This Row],[Sponsor0]] = 'Calculation Worksheet'!$AV$6 &amp; "  /  " &amp; 'Calculation Worksheet'!$AV$7, 1, ""))</f>
        <v>0</v>
      </c>
      <c r="R306" s="63" t="str">
        <f>IF(StatusBranchGrade[[#This Row],[S1]] = 1, COUNTIF($Q$3:Q306, 1), "")</f>
        <v/>
      </c>
      <c r="S306" s="63" t="str">
        <f>IFERROR(INDEX(StatusBranchGrade[Rank/Grade], MATCH(ROWS($R$3:R306)-1, StatusBranchGrade[S2], 0)), "") &amp; ""</f>
        <v/>
      </c>
      <c r="T306" s="63">
        <f>--ISNUMBER(IF(StatusBranchGrade[[#This Row],[Spouse0]] = 'Calculation Worksheet'!$CG$6 &amp; "  /  " &amp; 'Calculation Worksheet'!$CG$7, 1, ""))</f>
        <v>0</v>
      </c>
      <c r="U306" s="63" t="str">
        <f>IF(StatusBranchGrade[[#This Row],[T1]] = 1, COUNTIF($T$3:T306, 1), "")</f>
        <v/>
      </c>
      <c r="V306" s="63" t="str">
        <f>IFERROR(INDEX(StatusBranchGrade[Rank/Grade], MATCH(ROWS($U$3:U306)-1, StatusBranchGrade[T2], 0)), "") &amp; ""</f>
        <v/>
      </c>
      <c r="W306" s="63"/>
    </row>
    <row r="307" spans="1:23" x14ac:dyDescent="0.25">
      <c r="A307">
        <v>5</v>
      </c>
      <c r="B307" t="s">
        <v>216</v>
      </c>
      <c r="C307" t="s">
        <v>182</v>
      </c>
      <c r="D307" t="s">
        <v>83</v>
      </c>
      <c r="E307" t="str">
        <f>IF(StatusBranchGrade[[#This Row],[Status]] = "CYS", "DoD", StatusBranchGrade[[#This Row],[Rank]] &amp; "")</f>
        <v>O-9</v>
      </c>
      <c r="F307" t="s">
        <v>83</v>
      </c>
      <c r="G307" t="str">
        <f>IF(StatusBranchGrade[[#This Row],[Rank]] = StatusBranchGrade[[#This Row],[Grade]], StatusBranchGrade[[#This Row],[Rank]], StatusBranchGrade[[#This Row],[Grade]] &amp; "/" &amp; StatusBranchGrade[[#This Row],[Rank]]) &amp; ""</f>
        <v>O-9</v>
      </c>
      <c r="H30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O-9</v>
      </c>
      <c r="I307" s="17" t="str">
        <f>SUBSTITUTE(SUBSTITUTE(SUBSTITUTE(StatusBranchGrade[[#This Row],[Status]] &amp; "  /  " &amp; StatusBranchGrade[[#This Row],[Branch]] &amp; ";", "  /  ;", ";"), "  /  ;", ";"), ";", "")</f>
        <v>Active Duty  /  Navy</v>
      </c>
      <c r="J307">
        <v>12</v>
      </c>
      <c r="K307" s="17" t="str">
        <f>IF(LEFT(StatusBranchGrade[[#This Row],[Which]], 1) = "1", StatusBranchGrade[[#This Row],[Key]], "")</f>
        <v>Active Duty  /  Navy  /  O-9</v>
      </c>
      <c r="L307" s="17" t="str">
        <f>IF(LEFT(StatusBranchGrade[[#This Row],[Which]], 1) = "1", StatusBranchGrade[[#This Row],[Key0]], "")</f>
        <v>Active Duty  /  Navy</v>
      </c>
      <c r="M307" s="17" t="str">
        <f>IF(RIGHT(StatusBranchGrade[[#This Row],[Which]], 1) = "2", StatusBranchGrade[[#This Row],[Key]], "")</f>
        <v>Active Duty  /  Navy  /  O-9</v>
      </c>
      <c r="N307" s="17" t="str">
        <f>IF(RIGHT(StatusBranchGrade[[#This Row],[Which]], 1) = "2", StatusBranchGrade[[#This Row],[Key0]], "")</f>
        <v>Active Duty  /  Navy</v>
      </c>
      <c r="O307" s="17" t="s">
        <v>296</v>
      </c>
      <c r="P307" s="17"/>
      <c r="Q307" s="63">
        <f>--ISNUMBER(IF(StatusBranchGrade[[#This Row],[Sponsor0]] = 'Calculation Worksheet'!$AV$6 &amp; "  /  " &amp; 'Calculation Worksheet'!$AV$7, 1, ""))</f>
        <v>0</v>
      </c>
      <c r="R307" s="63" t="str">
        <f>IF(StatusBranchGrade[[#This Row],[S1]] = 1, COUNTIF($Q$3:Q307, 1), "")</f>
        <v/>
      </c>
      <c r="S307" s="63" t="str">
        <f>IFERROR(INDEX(StatusBranchGrade[Rank/Grade], MATCH(ROWS($R$3:R307)-1, StatusBranchGrade[S2], 0)), "") &amp; ""</f>
        <v/>
      </c>
      <c r="T307" s="63">
        <f>--ISNUMBER(IF(StatusBranchGrade[[#This Row],[Spouse0]] = 'Calculation Worksheet'!$CG$6 &amp; "  /  " &amp; 'Calculation Worksheet'!$CG$7, 1, ""))</f>
        <v>0</v>
      </c>
      <c r="U307" s="63" t="str">
        <f>IF(StatusBranchGrade[[#This Row],[T1]] = 1, COUNTIF($T$3:T307, 1), "")</f>
        <v/>
      </c>
      <c r="V307" s="63" t="str">
        <f>IFERROR(INDEX(StatusBranchGrade[Rank/Grade], MATCH(ROWS($U$3:U307)-1, StatusBranchGrade[T2], 0)), "") &amp; ""</f>
        <v/>
      </c>
      <c r="W307" s="63"/>
    </row>
    <row r="308" spans="1:23" x14ac:dyDescent="0.25">
      <c r="A308">
        <v>5</v>
      </c>
      <c r="B308" t="s">
        <v>216</v>
      </c>
      <c r="C308" t="s">
        <v>182</v>
      </c>
      <c r="D308" t="s">
        <v>96</v>
      </c>
      <c r="E308" t="str">
        <f>IF(StatusBranchGrade[[#This Row],[Status]] = "CYS", "DoD", StatusBranchGrade[[#This Row],[Rank]] &amp; "")</f>
        <v>W-1</v>
      </c>
      <c r="F308" t="s">
        <v>96</v>
      </c>
      <c r="G308" t="str">
        <f>IF(StatusBranchGrade[[#This Row],[Rank]] = StatusBranchGrade[[#This Row],[Grade]], StatusBranchGrade[[#This Row],[Rank]], StatusBranchGrade[[#This Row],[Grade]] &amp; "/" &amp; StatusBranchGrade[[#This Row],[Rank]]) &amp; ""</f>
        <v>W-1</v>
      </c>
      <c r="H30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W-1</v>
      </c>
      <c r="I308" s="17" t="str">
        <f>SUBSTITUTE(SUBSTITUTE(SUBSTITUTE(StatusBranchGrade[[#This Row],[Status]] &amp; "  /  " &amp; StatusBranchGrade[[#This Row],[Branch]] &amp; ";", "  /  ;", ";"), "  /  ;", ";"), ";", "")</f>
        <v>Active Duty  /  Navy</v>
      </c>
      <c r="J308">
        <v>12</v>
      </c>
      <c r="K308" s="17" t="str">
        <f>IF(LEFT(StatusBranchGrade[[#This Row],[Which]], 1) = "1", StatusBranchGrade[[#This Row],[Key]], "")</f>
        <v>Active Duty  /  Navy  /  W-1</v>
      </c>
      <c r="L308" s="17" t="str">
        <f>IF(LEFT(StatusBranchGrade[[#This Row],[Which]], 1) = "1", StatusBranchGrade[[#This Row],[Key0]], "")</f>
        <v>Active Duty  /  Navy</v>
      </c>
      <c r="M308" s="17" t="str">
        <f>IF(RIGHT(StatusBranchGrade[[#This Row],[Which]], 1) = "2", StatusBranchGrade[[#This Row],[Key]], "")</f>
        <v>Active Duty  /  Navy  /  W-1</v>
      </c>
      <c r="N308" s="17" t="str">
        <f>IF(RIGHT(StatusBranchGrade[[#This Row],[Which]], 1) = "2", StatusBranchGrade[[#This Row],[Key0]], "")</f>
        <v>Active Duty  /  Navy</v>
      </c>
      <c r="O308" s="17" t="s">
        <v>296</v>
      </c>
      <c r="P308" s="17"/>
      <c r="Q308" s="63">
        <f>--ISNUMBER(IF(StatusBranchGrade[[#This Row],[Sponsor0]] = 'Calculation Worksheet'!$AV$6 &amp; "  /  " &amp; 'Calculation Worksheet'!$AV$7, 1, ""))</f>
        <v>0</v>
      </c>
      <c r="R308" s="63" t="str">
        <f>IF(StatusBranchGrade[[#This Row],[S1]] = 1, COUNTIF($Q$3:Q308, 1), "")</f>
        <v/>
      </c>
      <c r="S308" s="63" t="str">
        <f>IFERROR(INDEX(StatusBranchGrade[Rank/Grade], MATCH(ROWS($R$3:R308)-1, StatusBranchGrade[S2], 0)), "") &amp; ""</f>
        <v/>
      </c>
      <c r="T308" s="63">
        <f>--ISNUMBER(IF(StatusBranchGrade[[#This Row],[Spouse0]] = 'Calculation Worksheet'!$CG$6 &amp; "  /  " &amp; 'Calculation Worksheet'!$CG$7, 1, ""))</f>
        <v>0</v>
      </c>
      <c r="U308" s="63" t="str">
        <f>IF(StatusBranchGrade[[#This Row],[T1]] = 1, COUNTIF($T$3:T308, 1), "")</f>
        <v/>
      </c>
      <c r="V308" s="63" t="str">
        <f>IFERROR(INDEX(StatusBranchGrade[Rank/Grade], MATCH(ROWS($U$3:U308)-1, StatusBranchGrade[T2], 0)), "") &amp; ""</f>
        <v/>
      </c>
      <c r="W308" s="63"/>
    </row>
    <row r="309" spans="1:23" x14ac:dyDescent="0.25">
      <c r="A309">
        <v>5</v>
      </c>
      <c r="B309" t="s">
        <v>216</v>
      </c>
      <c r="C309" t="s">
        <v>182</v>
      </c>
      <c r="D309" t="s">
        <v>95</v>
      </c>
      <c r="E309" t="str">
        <f>IF(StatusBranchGrade[[#This Row],[Status]] = "CYS", "DoD", StatusBranchGrade[[#This Row],[Rank]] &amp; "")</f>
        <v>W-2</v>
      </c>
      <c r="F309" t="s">
        <v>95</v>
      </c>
      <c r="G309" t="str">
        <f>IF(StatusBranchGrade[[#This Row],[Rank]] = StatusBranchGrade[[#This Row],[Grade]], StatusBranchGrade[[#This Row],[Rank]], StatusBranchGrade[[#This Row],[Grade]] &amp; "/" &amp; StatusBranchGrade[[#This Row],[Rank]]) &amp; ""</f>
        <v>W-2</v>
      </c>
      <c r="H30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W-2</v>
      </c>
      <c r="I309" s="17" t="str">
        <f>SUBSTITUTE(SUBSTITUTE(SUBSTITUTE(StatusBranchGrade[[#This Row],[Status]] &amp; "  /  " &amp; StatusBranchGrade[[#This Row],[Branch]] &amp; ";", "  /  ;", ";"), "  /  ;", ";"), ";", "")</f>
        <v>Active Duty  /  Navy</v>
      </c>
      <c r="J309">
        <v>12</v>
      </c>
      <c r="K309" s="17" t="str">
        <f>IF(LEFT(StatusBranchGrade[[#This Row],[Which]], 1) = "1", StatusBranchGrade[[#This Row],[Key]], "")</f>
        <v>Active Duty  /  Navy  /  W-2</v>
      </c>
      <c r="L309" s="17" t="str">
        <f>IF(LEFT(StatusBranchGrade[[#This Row],[Which]], 1) = "1", StatusBranchGrade[[#This Row],[Key0]], "")</f>
        <v>Active Duty  /  Navy</v>
      </c>
      <c r="M309" s="17" t="str">
        <f>IF(RIGHT(StatusBranchGrade[[#This Row],[Which]], 1) = "2", StatusBranchGrade[[#This Row],[Key]], "")</f>
        <v>Active Duty  /  Navy  /  W-2</v>
      </c>
      <c r="N309" s="17" t="str">
        <f>IF(RIGHT(StatusBranchGrade[[#This Row],[Which]], 1) = "2", StatusBranchGrade[[#This Row],[Key0]], "")</f>
        <v>Active Duty  /  Navy</v>
      </c>
      <c r="O309" s="17" t="s">
        <v>296</v>
      </c>
      <c r="P309" s="17"/>
      <c r="Q309" s="63">
        <f>--ISNUMBER(IF(StatusBranchGrade[[#This Row],[Sponsor0]] = 'Calculation Worksheet'!$AV$6 &amp; "  /  " &amp; 'Calculation Worksheet'!$AV$7, 1, ""))</f>
        <v>0</v>
      </c>
      <c r="R309" s="63" t="str">
        <f>IF(StatusBranchGrade[[#This Row],[S1]] = 1, COUNTIF($Q$3:Q309, 1), "")</f>
        <v/>
      </c>
      <c r="S309" s="63" t="str">
        <f>IFERROR(INDEX(StatusBranchGrade[Rank/Grade], MATCH(ROWS($R$3:R309)-1, StatusBranchGrade[S2], 0)), "") &amp; ""</f>
        <v/>
      </c>
      <c r="T309" s="63">
        <f>--ISNUMBER(IF(StatusBranchGrade[[#This Row],[Spouse0]] = 'Calculation Worksheet'!$CG$6 &amp; "  /  " &amp; 'Calculation Worksheet'!$CG$7, 1, ""))</f>
        <v>0</v>
      </c>
      <c r="U309" s="63" t="str">
        <f>IF(StatusBranchGrade[[#This Row],[T1]] = 1, COUNTIF($T$3:T309, 1), "")</f>
        <v/>
      </c>
      <c r="V309" s="63" t="str">
        <f>IFERROR(INDEX(StatusBranchGrade[Rank/Grade], MATCH(ROWS($U$3:U309)-1, StatusBranchGrade[T2], 0)), "") &amp; ""</f>
        <v/>
      </c>
      <c r="W309" s="63"/>
    </row>
    <row r="310" spans="1:23" x14ac:dyDescent="0.25">
      <c r="A310">
        <v>5</v>
      </c>
      <c r="B310" t="s">
        <v>216</v>
      </c>
      <c r="C310" t="s">
        <v>182</v>
      </c>
      <c r="D310" t="s">
        <v>94</v>
      </c>
      <c r="E310" t="str">
        <f>IF(StatusBranchGrade[[#This Row],[Status]] = "CYS", "DoD", StatusBranchGrade[[#This Row],[Rank]] &amp; "")</f>
        <v>W-3</v>
      </c>
      <c r="F310" t="s">
        <v>94</v>
      </c>
      <c r="G310" t="str">
        <f>IF(StatusBranchGrade[[#This Row],[Rank]] = StatusBranchGrade[[#This Row],[Grade]], StatusBranchGrade[[#This Row],[Rank]], StatusBranchGrade[[#This Row],[Grade]] &amp; "/" &amp; StatusBranchGrade[[#This Row],[Rank]]) &amp; ""</f>
        <v>W-3</v>
      </c>
      <c r="H3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W-3</v>
      </c>
      <c r="I310" s="17" t="str">
        <f>SUBSTITUTE(SUBSTITUTE(SUBSTITUTE(StatusBranchGrade[[#This Row],[Status]] &amp; "  /  " &amp; StatusBranchGrade[[#This Row],[Branch]] &amp; ";", "  /  ;", ";"), "  /  ;", ";"), ";", "")</f>
        <v>Active Duty  /  Navy</v>
      </c>
      <c r="J310">
        <v>12</v>
      </c>
      <c r="K310" s="17" t="str">
        <f>IF(LEFT(StatusBranchGrade[[#This Row],[Which]], 1) = "1", StatusBranchGrade[[#This Row],[Key]], "")</f>
        <v>Active Duty  /  Navy  /  W-3</v>
      </c>
      <c r="L310" s="17" t="str">
        <f>IF(LEFT(StatusBranchGrade[[#This Row],[Which]], 1) = "1", StatusBranchGrade[[#This Row],[Key0]], "")</f>
        <v>Active Duty  /  Navy</v>
      </c>
      <c r="M310" s="17" t="str">
        <f>IF(RIGHT(StatusBranchGrade[[#This Row],[Which]], 1) = "2", StatusBranchGrade[[#This Row],[Key]], "")</f>
        <v>Active Duty  /  Navy  /  W-3</v>
      </c>
      <c r="N310" s="17" t="str">
        <f>IF(RIGHT(StatusBranchGrade[[#This Row],[Which]], 1) = "2", StatusBranchGrade[[#This Row],[Key0]], "")</f>
        <v>Active Duty  /  Navy</v>
      </c>
      <c r="O310" s="17" t="s">
        <v>296</v>
      </c>
      <c r="P310" s="17"/>
      <c r="Q310" s="63">
        <f>--ISNUMBER(IF(StatusBranchGrade[[#This Row],[Sponsor0]] = 'Calculation Worksheet'!$AV$6 &amp; "  /  " &amp; 'Calculation Worksheet'!$AV$7, 1, ""))</f>
        <v>0</v>
      </c>
      <c r="R310" s="63" t="str">
        <f>IF(StatusBranchGrade[[#This Row],[S1]] = 1, COUNTIF($Q$3:Q310, 1), "")</f>
        <v/>
      </c>
      <c r="S310" s="63" t="str">
        <f>IFERROR(INDEX(StatusBranchGrade[Rank/Grade], MATCH(ROWS($R$3:R310)-1, StatusBranchGrade[S2], 0)), "") &amp; ""</f>
        <v/>
      </c>
      <c r="T310" s="63">
        <f>--ISNUMBER(IF(StatusBranchGrade[[#This Row],[Spouse0]] = 'Calculation Worksheet'!$CG$6 &amp; "  /  " &amp; 'Calculation Worksheet'!$CG$7, 1, ""))</f>
        <v>0</v>
      </c>
      <c r="U310" s="63" t="str">
        <f>IF(StatusBranchGrade[[#This Row],[T1]] = 1, COUNTIF($T$3:T310, 1), "")</f>
        <v/>
      </c>
      <c r="V310" s="63" t="str">
        <f>IFERROR(INDEX(StatusBranchGrade[Rank/Grade], MATCH(ROWS($U$3:U310)-1, StatusBranchGrade[T2], 0)), "") &amp; ""</f>
        <v/>
      </c>
      <c r="W310" s="63"/>
    </row>
    <row r="311" spans="1:23" x14ac:dyDescent="0.25">
      <c r="A311">
        <v>5</v>
      </c>
      <c r="B311" t="s">
        <v>216</v>
      </c>
      <c r="C311" t="s">
        <v>182</v>
      </c>
      <c r="D311" t="s">
        <v>93</v>
      </c>
      <c r="E311" t="str">
        <f>IF(StatusBranchGrade[[#This Row],[Status]] = "CYS", "DoD", StatusBranchGrade[[#This Row],[Rank]] &amp; "")</f>
        <v>W-4</v>
      </c>
      <c r="F311" t="s">
        <v>93</v>
      </c>
      <c r="G311" t="str">
        <f>IF(StatusBranchGrade[[#This Row],[Rank]] = StatusBranchGrade[[#This Row],[Grade]], StatusBranchGrade[[#This Row],[Rank]], StatusBranchGrade[[#This Row],[Grade]] &amp; "/" &amp; StatusBranchGrade[[#This Row],[Rank]]) &amp; ""</f>
        <v>W-4</v>
      </c>
      <c r="H3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Navy  /  W-4</v>
      </c>
      <c r="I311" s="17" t="str">
        <f>SUBSTITUTE(SUBSTITUTE(SUBSTITUTE(StatusBranchGrade[[#This Row],[Status]] &amp; "  /  " &amp; StatusBranchGrade[[#This Row],[Branch]] &amp; ";", "  /  ;", ";"), "  /  ;", ";"), ";", "")</f>
        <v>Active Duty  /  Navy</v>
      </c>
      <c r="J311">
        <v>12</v>
      </c>
      <c r="K311" s="17" t="str">
        <f>IF(LEFT(StatusBranchGrade[[#This Row],[Which]], 1) = "1", StatusBranchGrade[[#This Row],[Key]], "")</f>
        <v>Active Duty  /  Navy  /  W-4</v>
      </c>
      <c r="L311" s="17" t="str">
        <f>IF(LEFT(StatusBranchGrade[[#This Row],[Which]], 1) = "1", StatusBranchGrade[[#This Row],[Key0]], "")</f>
        <v>Active Duty  /  Navy</v>
      </c>
      <c r="M311" s="17" t="str">
        <f>IF(RIGHT(StatusBranchGrade[[#This Row],[Which]], 1) = "2", StatusBranchGrade[[#This Row],[Key]], "")</f>
        <v>Active Duty  /  Navy  /  W-4</v>
      </c>
      <c r="N311" s="17" t="str">
        <f>IF(RIGHT(StatusBranchGrade[[#This Row],[Which]], 1) = "2", StatusBranchGrade[[#This Row],[Key0]], "")</f>
        <v>Active Duty  /  Navy</v>
      </c>
      <c r="O311" s="17" t="s">
        <v>296</v>
      </c>
      <c r="P311" s="17"/>
      <c r="Q311" s="63">
        <f>--ISNUMBER(IF(StatusBranchGrade[[#This Row],[Sponsor0]] = 'Calculation Worksheet'!$AV$6 &amp; "  /  " &amp; 'Calculation Worksheet'!$AV$7, 1, ""))</f>
        <v>0</v>
      </c>
      <c r="R311" s="63" t="str">
        <f>IF(StatusBranchGrade[[#This Row],[S1]] = 1, COUNTIF($Q$3:Q311, 1), "")</f>
        <v/>
      </c>
      <c r="S311" s="63" t="str">
        <f>IFERROR(INDEX(StatusBranchGrade[Rank/Grade], MATCH(ROWS($R$3:R311)-1, StatusBranchGrade[S2], 0)), "") &amp; ""</f>
        <v/>
      </c>
      <c r="T311" s="63">
        <f>--ISNUMBER(IF(StatusBranchGrade[[#This Row],[Spouse0]] = 'Calculation Worksheet'!$CG$6 &amp; "  /  " &amp; 'Calculation Worksheet'!$CG$7, 1, ""))</f>
        <v>0</v>
      </c>
      <c r="U311" s="63" t="str">
        <f>IF(StatusBranchGrade[[#This Row],[T1]] = 1, COUNTIF($T$3:T311, 1), "")</f>
        <v/>
      </c>
      <c r="V311" s="63" t="str">
        <f>IFERROR(INDEX(StatusBranchGrade[Rank/Grade], MATCH(ROWS($U$3:U311)-1, StatusBranchGrade[T2], 0)), "") &amp; ""</f>
        <v/>
      </c>
      <c r="W311" s="63"/>
    </row>
    <row r="312" spans="1:23" x14ac:dyDescent="0.25">
      <c r="A312">
        <v>5</v>
      </c>
      <c r="B312" t="s">
        <v>216</v>
      </c>
      <c r="C312" t="s">
        <v>185</v>
      </c>
      <c r="D312" t="s">
        <v>105</v>
      </c>
      <c r="E312" t="str">
        <f>IF(StatusBranchGrade[[#This Row],[Status]] = "CYS", "DoD", StatusBranchGrade[[#This Row],[Rank]] &amp; "")</f>
        <v>E-1</v>
      </c>
      <c r="F312" t="s">
        <v>105</v>
      </c>
      <c r="G312" t="str">
        <f>IF(StatusBranchGrade[[#This Row],[Rank]] = StatusBranchGrade[[#This Row],[Grade]], StatusBranchGrade[[#This Row],[Rank]], StatusBranchGrade[[#This Row],[Grade]] &amp; "/" &amp; StatusBranchGrade[[#This Row],[Rank]]) &amp; ""</f>
        <v>E-1</v>
      </c>
      <c r="H3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E-1</v>
      </c>
      <c r="I312" s="17" t="str">
        <f>SUBSTITUTE(SUBSTITUTE(SUBSTITUTE(StatusBranchGrade[[#This Row],[Status]] &amp; "  /  " &amp; StatusBranchGrade[[#This Row],[Branch]] &amp; ";", "  /  ;", ";"), "  /  ;", ";"), ";", "")</f>
        <v>Active Duty  /  Space Force</v>
      </c>
      <c r="J312">
        <v>12</v>
      </c>
      <c r="K312" s="17" t="str">
        <f>IF(LEFT(StatusBranchGrade[[#This Row],[Which]], 1) = "1", StatusBranchGrade[[#This Row],[Key]], "")</f>
        <v>Active Duty  /  Space Force  /  E-1</v>
      </c>
      <c r="L312" s="17" t="str">
        <f>IF(LEFT(StatusBranchGrade[[#This Row],[Which]], 1) = "1", StatusBranchGrade[[#This Row],[Key0]], "")</f>
        <v>Active Duty  /  Space Force</v>
      </c>
      <c r="M312" s="17" t="str">
        <f>IF(RIGHT(StatusBranchGrade[[#This Row],[Which]], 1) = "2", StatusBranchGrade[[#This Row],[Key]], "")</f>
        <v>Active Duty  /  Space Force  /  E-1</v>
      </c>
      <c r="N312" s="17" t="str">
        <f>IF(RIGHT(StatusBranchGrade[[#This Row],[Which]], 1) = "2", StatusBranchGrade[[#This Row],[Key0]], "")</f>
        <v>Active Duty  /  Space Force</v>
      </c>
      <c r="O312" s="17" t="s">
        <v>296</v>
      </c>
      <c r="P312" s="17"/>
      <c r="Q312" s="63">
        <f>--ISNUMBER(IF(StatusBranchGrade[[#This Row],[Sponsor0]] = 'Calculation Worksheet'!$AV$6 &amp; "  /  " &amp; 'Calculation Worksheet'!$AV$7, 1, ""))</f>
        <v>0</v>
      </c>
      <c r="R312" s="63" t="str">
        <f>IF(StatusBranchGrade[[#This Row],[S1]] = 1, COUNTIF($Q$3:Q312, 1), "")</f>
        <v/>
      </c>
      <c r="S312" s="63" t="str">
        <f>IFERROR(INDEX(StatusBranchGrade[Rank/Grade], MATCH(ROWS($R$3:R312)-1, StatusBranchGrade[S2], 0)), "") &amp; ""</f>
        <v/>
      </c>
      <c r="T312" s="63">
        <f>--ISNUMBER(IF(StatusBranchGrade[[#This Row],[Spouse0]] = 'Calculation Worksheet'!$CG$6 &amp; "  /  " &amp; 'Calculation Worksheet'!$CG$7, 1, ""))</f>
        <v>0</v>
      </c>
      <c r="U312" s="63" t="str">
        <f>IF(StatusBranchGrade[[#This Row],[T1]] = 1, COUNTIF($T$3:T312, 1), "")</f>
        <v/>
      </c>
      <c r="V312" s="63" t="str">
        <f>IFERROR(INDEX(StatusBranchGrade[Rank/Grade], MATCH(ROWS($U$3:U312)-1, StatusBranchGrade[T2], 0)), "") &amp; ""</f>
        <v/>
      </c>
      <c r="W312" s="63"/>
    </row>
    <row r="313" spans="1:23" x14ac:dyDescent="0.25">
      <c r="A313">
        <v>5</v>
      </c>
      <c r="B313" t="s">
        <v>216</v>
      </c>
      <c r="C313" t="s">
        <v>185</v>
      </c>
      <c r="D313" t="s">
        <v>104</v>
      </c>
      <c r="E313" t="str">
        <f>IF(StatusBranchGrade[[#This Row],[Status]] = "CYS", "DoD", StatusBranchGrade[[#This Row],[Rank]] &amp; "")</f>
        <v>E-2</v>
      </c>
      <c r="F313" t="s">
        <v>104</v>
      </c>
      <c r="G313" t="str">
        <f>IF(StatusBranchGrade[[#This Row],[Rank]] = StatusBranchGrade[[#This Row],[Grade]], StatusBranchGrade[[#This Row],[Rank]], StatusBranchGrade[[#This Row],[Grade]] &amp; "/" &amp; StatusBranchGrade[[#This Row],[Rank]]) &amp; ""</f>
        <v>E-2</v>
      </c>
      <c r="H3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E-2</v>
      </c>
      <c r="I313" s="17" t="str">
        <f>SUBSTITUTE(SUBSTITUTE(SUBSTITUTE(StatusBranchGrade[[#This Row],[Status]] &amp; "  /  " &amp; StatusBranchGrade[[#This Row],[Branch]] &amp; ";", "  /  ;", ";"), "  /  ;", ";"), ";", "")</f>
        <v>Active Duty  /  Space Force</v>
      </c>
      <c r="J313">
        <v>12</v>
      </c>
      <c r="K313" s="17" t="str">
        <f>IF(LEFT(StatusBranchGrade[[#This Row],[Which]], 1) = "1", StatusBranchGrade[[#This Row],[Key]], "")</f>
        <v>Active Duty  /  Space Force  /  E-2</v>
      </c>
      <c r="L313" s="17" t="str">
        <f>IF(LEFT(StatusBranchGrade[[#This Row],[Which]], 1) = "1", StatusBranchGrade[[#This Row],[Key0]], "")</f>
        <v>Active Duty  /  Space Force</v>
      </c>
      <c r="M313" s="17" t="str">
        <f>IF(RIGHT(StatusBranchGrade[[#This Row],[Which]], 1) = "2", StatusBranchGrade[[#This Row],[Key]], "")</f>
        <v>Active Duty  /  Space Force  /  E-2</v>
      </c>
      <c r="N313" s="17" t="str">
        <f>IF(RIGHT(StatusBranchGrade[[#This Row],[Which]], 1) = "2", StatusBranchGrade[[#This Row],[Key0]], "")</f>
        <v>Active Duty  /  Space Force</v>
      </c>
      <c r="O313" s="17" t="s">
        <v>296</v>
      </c>
      <c r="P313" s="17"/>
      <c r="Q313" s="63">
        <f>--ISNUMBER(IF(StatusBranchGrade[[#This Row],[Sponsor0]] = 'Calculation Worksheet'!$AV$6 &amp; "  /  " &amp; 'Calculation Worksheet'!$AV$7, 1, ""))</f>
        <v>0</v>
      </c>
      <c r="R313" s="63" t="str">
        <f>IF(StatusBranchGrade[[#This Row],[S1]] = 1, COUNTIF($Q$3:Q313, 1), "")</f>
        <v/>
      </c>
      <c r="S313" s="63" t="str">
        <f>IFERROR(INDEX(StatusBranchGrade[Rank/Grade], MATCH(ROWS($R$3:R313)-1, StatusBranchGrade[S2], 0)), "") &amp; ""</f>
        <v/>
      </c>
      <c r="T313" s="63">
        <f>--ISNUMBER(IF(StatusBranchGrade[[#This Row],[Spouse0]] = 'Calculation Worksheet'!$CG$6 &amp; "  /  " &amp; 'Calculation Worksheet'!$CG$7, 1, ""))</f>
        <v>0</v>
      </c>
      <c r="U313" s="63" t="str">
        <f>IF(StatusBranchGrade[[#This Row],[T1]] = 1, COUNTIF($T$3:T313, 1), "")</f>
        <v/>
      </c>
      <c r="V313" s="63" t="str">
        <f>IFERROR(INDEX(StatusBranchGrade[Rank/Grade], MATCH(ROWS($U$3:U313)-1, StatusBranchGrade[T2], 0)), "") &amp; ""</f>
        <v/>
      </c>
      <c r="W313" s="63"/>
    </row>
    <row r="314" spans="1:23" x14ac:dyDescent="0.25">
      <c r="A314">
        <v>5</v>
      </c>
      <c r="B314" t="s">
        <v>216</v>
      </c>
      <c r="C314" t="s">
        <v>185</v>
      </c>
      <c r="D314" t="s">
        <v>103</v>
      </c>
      <c r="E314" t="str">
        <f>IF(StatusBranchGrade[[#This Row],[Status]] = "CYS", "DoD", StatusBranchGrade[[#This Row],[Rank]] &amp; "")</f>
        <v>E-3</v>
      </c>
      <c r="F314" t="s">
        <v>103</v>
      </c>
      <c r="G314" t="str">
        <f>IF(StatusBranchGrade[[#This Row],[Rank]] = StatusBranchGrade[[#This Row],[Grade]], StatusBranchGrade[[#This Row],[Rank]], StatusBranchGrade[[#This Row],[Grade]] &amp; "/" &amp; StatusBranchGrade[[#This Row],[Rank]]) &amp; ""</f>
        <v>E-3</v>
      </c>
      <c r="H3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E-3</v>
      </c>
      <c r="I314" s="17" t="str">
        <f>SUBSTITUTE(SUBSTITUTE(SUBSTITUTE(StatusBranchGrade[[#This Row],[Status]] &amp; "  /  " &amp; StatusBranchGrade[[#This Row],[Branch]] &amp; ";", "  /  ;", ";"), "  /  ;", ";"), ";", "")</f>
        <v>Active Duty  /  Space Force</v>
      </c>
      <c r="J314">
        <v>12</v>
      </c>
      <c r="K314" s="17" t="str">
        <f>IF(LEFT(StatusBranchGrade[[#This Row],[Which]], 1) = "1", StatusBranchGrade[[#This Row],[Key]], "")</f>
        <v>Active Duty  /  Space Force  /  E-3</v>
      </c>
      <c r="L314" s="17" t="str">
        <f>IF(LEFT(StatusBranchGrade[[#This Row],[Which]], 1) = "1", StatusBranchGrade[[#This Row],[Key0]], "")</f>
        <v>Active Duty  /  Space Force</v>
      </c>
      <c r="M314" s="17" t="str">
        <f>IF(RIGHT(StatusBranchGrade[[#This Row],[Which]], 1) = "2", StatusBranchGrade[[#This Row],[Key]], "")</f>
        <v>Active Duty  /  Space Force  /  E-3</v>
      </c>
      <c r="N314" s="17" t="str">
        <f>IF(RIGHT(StatusBranchGrade[[#This Row],[Which]], 1) = "2", StatusBranchGrade[[#This Row],[Key0]], "")</f>
        <v>Active Duty  /  Space Force</v>
      </c>
      <c r="O314" s="17" t="s">
        <v>296</v>
      </c>
      <c r="P314" s="17"/>
      <c r="Q314" s="63">
        <f>--ISNUMBER(IF(StatusBranchGrade[[#This Row],[Sponsor0]] = 'Calculation Worksheet'!$AV$6 &amp; "  /  " &amp; 'Calculation Worksheet'!$AV$7, 1, ""))</f>
        <v>0</v>
      </c>
      <c r="R314" s="63" t="str">
        <f>IF(StatusBranchGrade[[#This Row],[S1]] = 1, COUNTIF($Q$3:Q314, 1), "")</f>
        <v/>
      </c>
      <c r="S314" s="63" t="str">
        <f>IFERROR(INDEX(StatusBranchGrade[Rank/Grade], MATCH(ROWS($R$3:R314)-1, StatusBranchGrade[S2], 0)), "") &amp; ""</f>
        <v/>
      </c>
      <c r="T314" s="63">
        <f>--ISNUMBER(IF(StatusBranchGrade[[#This Row],[Spouse0]] = 'Calculation Worksheet'!$CG$6 &amp; "  /  " &amp; 'Calculation Worksheet'!$CG$7, 1, ""))</f>
        <v>0</v>
      </c>
      <c r="U314" s="63" t="str">
        <f>IF(StatusBranchGrade[[#This Row],[T1]] = 1, COUNTIF($T$3:T314, 1), "")</f>
        <v/>
      </c>
      <c r="V314" s="63" t="str">
        <f>IFERROR(INDEX(StatusBranchGrade[Rank/Grade], MATCH(ROWS($U$3:U314)-1, StatusBranchGrade[T2], 0)), "") &amp; ""</f>
        <v/>
      </c>
      <c r="W314" s="63"/>
    </row>
    <row r="315" spans="1:23" x14ac:dyDescent="0.25">
      <c r="A315">
        <v>5</v>
      </c>
      <c r="B315" t="s">
        <v>216</v>
      </c>
      <c r="C315" t="s">
        <v>185</v>
      </c>
      <c r="D315" t="s">
        <v>102</v>
      </c>
      <c r="E315" t="str">
        <f>IF(StatusBranchGrade[[#This Row],[Status]] = "CYS", "DoD", StatusBranchGrade[[#This Row],[Rank]] &amp; "")</f>
        <v>E-4</v>
      </c>
      <c r="F315" t="s">
        <v>102</v>
      </c>
      <c r="G315" t="str">
        <f>IF(StatusBranchGrade[[#This Row],[Rank]] = StatusBranchGrade[[#This Row],[Grade]], StatusBranchGrade[[#This Row],[Rank]], StatusBranchGrade[[#This Row],[Grade]] &amp; "/" &amp; StatusBranchGrade[[#This Row],[Rank]]) &amp; ""</f>
        <v>E-4</v>
      </c>
      <c r="H3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E-4</v>
      </c>
      <c r="I315" s="17" t="str">
        <f>SUBSTITUTE(SUBSTITUTE(SUBSTITUTE(StatusBranchGrade[[#This Row],[Status]] &amp; "  /  " &amp; StatusBranchGrade[[#This Row],[Branch]] &amp; ";", "  /  ;", ";"), "  /  ;", ";"), ";", "")</f>
        <v>Active Duty  /  Space Force</v>
      </c>
      <c r="J315">
        <v>12</v>
      </c>
      <c r="K315" s="17" t="str">
        <f>IF(LEFT(StatusBranchGrade[[#This Row],[Which]], 1) = "1", StatusBranchGrade[[#This Row],[Key]], "")</f>
        <v>Active Duty  /  Space Force  /  E-4</v>
      </c>
      <c r="L315" s="17" t="str">
        <f>IF(LEFT(StatusBranchGrade[[#This Row],[Which]], 1) = "1", StatusBranchGrade[[#This Row],[Key0]], "")</f>
        <v>Active Duty  /  Space Force</v>
      </c>
      <c r="M315" s="17" t="str">
        <f>IF(RIGHT(StatusBranchGrade[[#This Row],[Which]], 1) = "2", StatusBranchGrade[[#This Row],[Key]], "")</f>
        <v>Active Duty  /  Space Force  /  E-4</v>
      </c>
      <c r="N315" s="17" t="str">
        <f>IF(RIGHT(StatusBranchGrade[[#This Row],[Which]], 1) = "2", StatusBranchGrade[[#This Row],[Key0]], "")</f>
        <v>Active Duty  /  Space Force</v>
      </c>
      <c r="O315" s="17" t="s">
        <v>296</v>
      </c>
      <c r="P315" s="17"/>
      <c r="Q315" s="63">
        <f>--ISNUMBER(IF(StatusBranchGrade[[#This Row],[Sponsor0]] = 'Calculation Worksheet'!$AV$6 &amp; "  /  " &amp; 'Calculation Worksheet'!$AV$7, 1, ""))</f>
        <v>0</v>
      </c>
      <c r="R315" s="63" t="str">
        <f>IF(StatusBranchGrade[[#This Row],[S1]] = 1, COUNTIF($Q$3:Q315, 1), "")</f>
        <v/>
      </c>
      <c r="S315" s="63" t="str">
        <f>IFERROR(INDEX(StatusBranchGrade[Rank/Grade], MATCH(ROWS($R$3:R315)-1, StatusBranchGrade[S2], 0)), "") &amp; ""</f>
        <v/>
      </c>
      <c r="T315" s="63">
        <f>--ISNUMBER(IF(StatusBranchGrade[[#This Row],[Spouse0]] = 'Calculation Worksheet'!$CG$6 &amp; "  /  " &amp; 'Calculation Worksheet'!$CG$7, 1, ""))</f>
        <v>0</v>
      </c>
      <c r="U315" s="63" t="str">
        <f>IF(StatusBranchGrade[[#This Row],[T1]] = 1, COUNTIF($T$3:T315, 1), "")</f>
        <v/>
      </c>
      <c r="V315" s="63" t="str">
        <f>IFERROR(INDEX(StatusBranchGrade[Rank/Grade], MATCH(ROWS($U$3:U315)-1, StatusBranchGrade[T2], 0)), "") &amp; ""</f>
        <v/>
      </c>
      <c r="W315" s="63"/>
    </row>
    <row r="316" spans="1:23" x14ac:dyDescent="0.25">
      <c r="A316">
        <v>5</v>
      </c>
      <c r="B316" t="s">
        <v>216</v>
      </c>
      <c r="C316" t="s">
        <v>185</v>
      </c>
      <c r="D316" t="s">
        <v>101</v>
      </c>
      <c r="E316" t="str">
        <f>IF(StatusBranchGrade[[#This Row],[Status]] = "CYS", "DoD", StatusBranchGrade[[#This Row],[Rank]] &amp; "")</f>
        <v>E-5</v>
      </c>
      <c r="F316" t="s">
        <v>101</v>
      </c>
      <c r="G316" t="str">
        <f>IF(StatusBranchGrade[[#This Row],[Rank]] = StatusBranchGrade[[#This Row],[Grade]], StatusBranchGrade[[#This Row],[Rank]], StatusBranchGrade[[#This Row],[Grade]] &amp; "/" &amp; StatusBranchGrade[[#This Row],[Rank]]) &amp; ""</f>
        <v>E-5</v>
      </c>
      <c r="H3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E-5</v>
      </c>
      <c r="I316" s="17" t="str">
        <f>SUBSTITUTE(SUBSTITUTE(SUBSTITUTE(StatusBranchGrade[[#This Row],[Status]] &amp; "  /  " &amp; StatusBranchGrade[[#This Row],[Branch]] &amp; ";", "  /  ;", ";"), "  /  ;", ";"), ";", "")</f>
        <v>Active Duty  /  Space Force</v>
      </c>
      <c r="J316">
        <v>12</v>
      </c>
      <c r="K316" s="17" t="str">
        <f>IF(LEFT(StatusBranchGrade[[#This Row],[Which]], 1) = "1", StatusBranchGrade[[#This Row],[Key]], "")</f>
        <v>Active Duty  /  Space Force  /  E-5</v>
      </c>
      <c r="L316" s="17" t="str">
        <f>IF(LEFT(StatusBranchGrade[[#This Row],[Which]], 1) = "1", StatusBranchGrade[[#This Row],[Key0]], "")</f>
        <v>Active Duty  /  Space Force</v>
      </c>
      <c r="M316" s="17" t="str">
        <f>IF(RIGHT(StatusBranchGrade[[#This Row],[Which]], 1) = "2", StatusBranchGrade[[#This Row],[Key]], "")</f>
        <v>Active Duty  /  Space Force  /  E-5</v>
      </c>
      <c r="N316" s="17" t="str">
        <f>IF(RIGHT(StatusBranchGrade[[#This Row],[Which]], 1) = "2", StatusBranchGrade[[#This Row],[Key0]], "")</f>
        <v>Active Duty  /  Space Force</v>
      </c>
      <c r="O316" s="17" t="s">
        <v>296</v>
      </c>
      <c r="P316" s="17"/>
      <c r="Q316" s="63">
        <f>--ISNUMBER(IF(StatusBranchGrade[[#This Row],[Sponsor0]] = 'Calculation Worksheet'!$AV$6 &amp; "  /  " &amp; 'Calculation Worksheet'!$AV$7, 1, ""))</f>
        <v>0</v>
      </c>
      <c r="R316" s="63" t="str">
        <f>IF(StatusBranchGrade[[#This Row],[S1]] = 1, COUNTIF($Q$3:Q316, 1), "")</f>
        <v/>
      </c>
      <c r="S316" s="63" t="str">
        <f>IFERROR(INDEX(StatusBranchGrade[Rank/Grade], MATCH(ROWS($R$3:R316)-1, StatusBranchGrade[S2], 0)), "") &amp; ""</f>
        <v/>
      </c>
      <c r="T316" s="63">
        <f>--ISNUMBER(IF(StatusBranchGrade[[#This Row],[Spouse0]] = 'Calculation Worksheet'!$CG$6 &amp; "  /  " &amp; 'Calculation Worksheet'!$CG$7, 1, ""))</f>
        <v>0</v>
      </c>
      <c r="U316" s="63" t="str">
        <f>IF(StatusBranchGrade[[#This Row],[T1]] = 1, COUNTIF($T$3:T316, 1), "")</f>
        <v/>
      </c>
      <c r="V316" s="63" t="str">
        <f>IFERROR(INDEX(StatusBranchGrade[Rank/Grade], MATCH(ROWS($U$3:U316)-1, StatusBranchGrade[T2], 0)), "") &amp; ""</f>
        <v/>
      </c>
      <c r="W316" s="63"/>
    </row>
    <row r="317" spans="1:23" x14ac:dyDescent="0.25">
      <c r="A317">
        <v>5</v>
      </c>
      <c r="B317" t="s">
        <v>216</v>
      </c>
      <c r="C317" t="s">
        <v>185</v>
      </c>
      <c r="D317" t="s">
        <v>100</v>
      </c>
      <c r="E317" t="str">
        <f>IF(StatusBranchGrade[[#This Row],[Status]] = "CYS", "DoD", StatusBranchGrade[[#This Row],[Rank]] &amp; "")</f>
        <v>E-6</v>
      </c>
      <c r="F317" t="s">
        <v>100</v>
      </c>
      <c r="G317" t="str">
        <f>IF(StatusBranchGrade[[#This Row],[Rank]] = StatusBranchGrade[[#This Row],[Grade]], StatusBranchGrade[[#This Row],[Rank]], StatusBranchGrade[[#This Row],[Grade]] &amp; "/" &amp; StatusBranchGrade[[#This Row],[Rank]]) &amp; ""</f>
        <v>E-6</v>
      </c>
      <c r="H3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E-6</v>
      </c>
      <c r="I317" s="17" t="str">
        <f>SUBSTITUTE(SUBSTITUTE(SUBSTITUTE(StatusBranchGrade[[#This Row],[Status]] &amp; "  /  " &amp; StatusBranchGrade[[#This Row],[Branch]] &amp; ";", "  /  ;", ";"), "  /  ;", ";"), ";", "")</f>
        <v>Active Duty  /  Space Force</v>
      </c>
      <c r="J317">
        <v>12</v>
      </c>
      <c r="K317" s="17" t="str">
        <f>IF(LEFT(StatusBranchGrade[[#This Row],[Which]], 1) = "1", StatusBranchGrade[[#This Row],[Key]], "")</f>
        <v>Active Duty  /  Space Force  /  E-6</v>
      </c>
      <c r="L317" s="17" t="str">
        <f>IF(LEFT(StatusBranchGrade[[#This Row],[Which]], 1) = "1", StatusBranchGrade[[#This Row],[Key0]], "")</f>
        <v>Active Duty  /  Space Force</v>
      </c>
      <c r="M317" s="17" t="str">
        <f>IF(RIGHT(StatusBranchGrade[[#This Row],[Which]], 1) = "2", StatusBranchGrade[[#This Row],[Key]], "")</f>
        <v>Active Duty  /  Space Force  /  E-6</v>
      </c>
      <c r="N317" s="17" t="str">
        <f>IF(RIGHT(StatusBranchGrade[[#This Row],[Which]], 1) = "2", StatusBranchGrade[[#This Row],[Key0]], "")</f>
        <v>Active Duty  /  Space Force</v>
      </c>
      <c r="O317" s="17" t="s">
        <v>296</v>
      </c>
      <c r="P317" s="17"/>
      <c r="Q317" s="63">
        <f>--ISNUMBER(IF(StatusBranchGrade[[#This Row],[Sponsor0]] = 'Calculation Worksheet'!$AV$6 &amp; "  /  " &amp; 'Calculation Worksheet'!$AV$7, 1, ""))</f>
        <v>0</v>
      </c>
      <c r="R317" s="63" t="str">
        <f>IF(StatusBranchGrade[[#This Row],[S1]] = 1, COUNTIF($Q$3:Q317, 1), "")</f>
        <v/>
      </c>
      <c r="S317" s="63" t="str">
        <f>IFERROR(INDEX(StatusBranchGrade[Rank/Grade], MATCH(ROWS($R$3:R317)-1, StatusBranchGrade[S2], 0)), "") &amp; ""</f>
        <v/>
      </c>
      <c r="T317" s="63">
        <f>--ISNUMBER(IF(StatusBranchGrade[[#This Row],[Spouse0]] = 'Calculation Worksheet'!$CG$6 &amp; "  /  " &amp; 'Calculation Worksheet'!$CG$7, 1, ""))</f>
        <v>0</v>
      </c>
      <c r="U317" s="63" t="str">
        <f>IF(StatusBranchGrade[[#This Row],[T1]] = 1, COUNTIF($T$3:T317, 1), "")</f>
        <v/>
      </c>
      <c r="V317" s="63" t="str">
        <f>IFERROR(INDEX(StatusBranchGrade[Rank/Grade], MATCH(ROWS($U$3:U317)-1, StatusBranchGrade[T2], 0)), "") &amp; ""</f>
        <v/>
      </c>
      <c r="W317" s="63"/>
    </row>
    <row r="318" spans="1:23" x14ac:dyDescent="0.25">
      <c r="A318">
        <v>5</v>
      </c>
      <c r="B318" t="s">
        <v>216</v>
      </c>
      <c r="C318" t="s">
        <v>185</v>
      </c>
      <c r="D318" t="s">
        <v>99</v>
      </c>
      <c r="E318" t="str">
        <f>IF(StatusBranchGrade[[#This Row],[Status]] = "CYS", "DoD", StatusBranchGrade[[#This Row],[Rank]] &amp; "")</f>
        <v>E-7</v>
      </c>
      <c r="F318" t="s">
        <v>99</v>
      </c>
      <c r="G318" t="str">
        <f>IF(StatusBranchGrade[[#This Row],[Rank]] = StatusBranchGrade[[#This Row],[Grade]], StatusBranchGrade[[#This Row],[Rank]], StatusBranchGrade[[#This Row],[Grade]] &amp; "/" &amp; StatusBranchGrade[[#This Row],[Rank]]) &amp; ""</f>
        <v>E-7</v>
      </c>
      <c r="H3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E-7</v>
      </c>
      <c r="I318" s="17" t="str">
        <f>SUBSTITUTE(SUBSTITUTE(SUBSTITUTE(StatusBranchGrade[[#This Row],[Status]] &amp; "  /  " &amp; StatusBranchGrade[[#This Row],[Branch]] &amp; ";", "  /  ;", ";"), "  /  ;", ";"), ";", "")</f>
        <v>Active Duty  /  Space Force</v>
      </c>
      <c r="J318">
        <v>12</v>
      </c>
      <c r="K318" s="17" t="str">
        <f>IF(LEFT(StatusBranchGrade[[#This Row],[Which]], 1) = "1", StatusBranchGrade[[#This Row],[Key]], "")</f>
        <v>Active Duty  /  Space Force  /  E-7</v>
      </c>
      <c r="L318" s="17" t="str">
        <f>IF(LEFT(StatusBranchGrade[[#This Row],[Which]], 1) = "1", StatusBranchGrade[[#This Row],[Key0]], "")</f>
        <v>Active Duty  /  Space Force</v>
      </c>
      <c r="M318" s="17" t="str">
        <f>IF(RIGHT(StatusBranchGrade[[#This Row],[Which]], 1) = "2", StatusBranchGrade[[#This Row],[Key]], "")</f>
        <v>Active Duty  /  Space Force  /  E-7</v>
      </c>
      <c r="N318" s="17" t="str">
        <f>IF(RIGHT(StatusBranchGrade[[#This Row],[Which]], 1) = "2", StatusBranchGrade[[#This Row],[Key0]], "")</f>
        <v>Active Duty  /  Space Force</v>
      </c>
      <c r="O318" s="17" t="s">
        <v>296</v>
      </c>
      <c r="P318" s="17"/>
      <c r="Q318" s="63">
        <f>--ISNUMBER(IF(StatusBranchGrade[[#This Row],[Sponsor0]] = 'Calculation Worksheet'!$AV$6 &amp; "  /  " &amp; 'Calculation Worksheet'!$AV$7, 1, ""))</f>
        <v>0</v>
      </c>
      <c r="R318" s="63" t="str">
        <f>IF(StatusBranchGrade[[#This Row],[S1]] = 1, COUNTIF($Q$3:Q318, 1), "")</f>
        <v/>
      </c>
      <c r="S318" s="63" t="str">
        <f>IFERROR(INDEX(StatusBranchGrade[Rank/Grade], MATCH(ROWS($R$3:R318)-1, StatusBranchGrade[S2], 0)), "") &amp; ""</f>
        <v/>
      </c>
      <c r="T318" s="63">
        <f>--ISNUMBER(IF(StatusBranchGrade[[#This Row],[Spouse0]] = 'Calculation Worksheet'!$CG$6 &amp; "  /  " &amp; 'Calculation Worksheet'!$CG$7, 1, ""))</f>
        <v>0</v>
      </c>
      <c r="U318" s="63" t="str">
        <f>IF(StatusBranchGrade[[#This Row],[T1]] = 1, COUNTIF($T$3:T318, 1), "")</f>
        <v/>
      </c>
      <c r="V318" s="63" t="str">
        <f>IFERROR(INDEX(StatusBranchGrade[Rank/Grade], MATCH(ROWS($U$3:U318)-1, StatusBranchGrade[T2], 0)), "") &amp; ""</f>
        <v/>
      </c>
      <c r="W318" s="63"/>
    </row>
    <row r="319" spans="1:23" x14ac:dyDescent="0.25">
      <c r="A319">
        <v>5</v>
      </c>
      <c r="B319" t="s">
        <v>216</v>
      </c>
      <c r="C319" t="s">
        <v>185</v>
      </c>
      <c r="D319" t="s">
        <v>98</v>
      </c>
      <c r="E319" t="str">
        <f>IF(StatusBranchGrade[[#This Row],[Status]] = "CYS", "DoD", StatusBranchGrade[[#This Row],[Rank]] &amp; "")</f>
        <v>E-8</v>
      </c>
      <c r="F319" t="s">
        <v>98</v>
      </c>
      <c r="G319" t="str">
        <f>IF(StatusBranchGrade[[#This Row],[Rank]] = StatusBranchGrade[[#This Row],[Grade]], StatusBranchGrade[[#This Row],[Rank]], StatusBranchGrade[[#This Row],[Grade]] &amp; "/" &amp; StatusBranchGrade[[#This Row],[Rank]]) &amp; ""</f>
        <v>E-8</v>
      </c>
      <c r="H3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E-8</v>
      </c>
      <c r="I319" s="17" t="str">
        <f>SUBSTITUTE(SUBSTITUTE(SUBSTITUTE(StatusBranchGrade[[#This Row],[Status]] &amp; "  /  " &amp; StatusBranchGrade[[#This Row],[Branch]] &amp; ";", "  /  ;", ";"), "  /  ;", ";"), ";", "")</f>
        <v>Active Duty  /  Space Force</v>
      </c>
      <c r="J319">
        <v>12</v>
      </c>
      <c r="K319" s="17" t="str">
        <f>IF(LEFT(StatusBranchGrade[[#This Row],[Which]], 1) = "1", StatusBranchGrade[[#This Row],[Key]], "")</f>
        <v>Active Duty  /  Space Force  /  E-8</v>
      </c>
      <c r="L319" s="17" t="str">
        <f>IF(LEFT(StatusBranchGrade[[#This Row],[Which]], 1) = "1", StatusBranchGrade[[#This Row],[Key0]], "")</f>
        <v>Active Duty  /  Space Force</v>
      </c>
      <c r="M319" s="17" t="str">
        <f>IF(RIGHT(StatusBranchGrade[[#This Row],[Which]], 1) = "2", StatusBranchGrade[[#This Row],[Key]], "")</f>
        <v>Active Duty  /  Space Force  /  E-8</v>
      </c>
      <c r="N319" s="17" t="str">
        <f>IF(RIGHT(StatusBranchGrade[[#This Row],[Which]], 1) = "2", StatusBranchGrade[[#This Row],[Key0]], "")</f>
        <v>Active Duty  /  Space Force</v>
      </c>
      <c r="O319" s="17" t="s">
        <v>296</v>
      </c>
      <c r="P319" s="17"/>
      <c r="Q319" s="63">
        <f>--ISNUMBER(IF(StatusBranchGrade[[#This Row],[Sponsor0]] = 'Calculation Worksheet'!$AV$6 &amp; "  /  " &amp; 'Calculation Worksheet'!$AV$7, 1, ""))</f>
        <v>0</v>
      </c>
      <c r="R319" s="63" t="str">
        <f>IF(StatusBranchGrade[[#This Row],[S1]] = 1, COUNTIF($Q$3:Q319, 1), "")</f>
        <v/>
      </c>
      <c r="S319" s="63" t="str">
        <f>IFERROR(INDEX(StatusBranchGrade[Rank/Grade], MATCH(ROWS($R$3:R319)-1, StatusBranchGrade[S2], 0)), "") &amp; ""</f>
        <v/>
      </c>
      <c r="T319" s="63">
        <f>--ISNUMBER(IF(StatusBranchGrade[[#This Row],[Spouse0]] = 'Calculation Worksheet'!$CG$6 &amp; "  /  " &amp; 'Calculation Worksheet'!$CG$7, 1, ""))</f>
        <v>0</v>
      </c>
      <c r="U319" s="63" t="str">
        <f>IF(StatusBranchGrade[[#This Row],[T1]] = 1, COUNTIF($T$3:T319, 1), "")</f>
        <v/>
      </c>
      <c r="V319" s="63" t="str">
        <f>IFERROR(INDEX(StatusBranchGrade[Rank/Grade], MATCH(ROWS($U$3:U319)-1, StatusBranchGrade[T2], 0)), "") &amp; ""</f>
        <v/>
      </c>
      <c r="W319" s="63"/>
    </row>
    <row r="320" spans="1:23" x14ac:dyDescent="0.25">
      <c r="A320">
        <v>5</v>
      </c>
      <c r="B320" t="s">
        <v>216</v>
      </c>
      <c r="C320" t="s">
        <v>185</v>
      </c>
      <c r="D320" t="s">
        <v>97</v>
      </c>
      <c r="E320" t="str">
        <f>IF(StatusBranchGrade[[#This Row],[Status]] = "CYS", "DoD", StatusBranchGrade[[#This Row],[Rank]] &amp; "")</f>
        <v>E-9</v>
      </c>
      <c r="F320" t="s">
        <v>97</v>
      </c>
      <c r="G320" t="str">
        <f>IF(StatusBranchGrade[[#This Row],[Rank]] = StatusBranchGrade[[#This Row],[Grade]], StatusBranchGrade[[#This Row],[Rank]], StatusBranchGrade[[#This Row],[Grade]] &amp; "/" &amp; StatusBranchGrade[[#This Row],[Rank]]) &amp; ""</f>
        <v>E-9</v>
      </c>
      <c r="H3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E-9</v>
      </c>
      <c r="I320" s="17" t="str">
        <f>SUBSTITUTE(SUBSTITUTE(SUBSTITUTE(StatusBranchGrade[[#This Row],[Status]] &amp; "  /  " &amp; StatusBranchGrade[[#This Row],[Branch]] &amp; ";", "  /  ;", ";"), "  /  ;", ";"), ";", "")</f>
        <v>Active Duty  /  Space Force</v>
      </c>
      <c r="J320">
        <v>12</v>
      </c>
      <c r="K320" s="17" t="str">
        <f>IF(LEFT(StatusBranchGrade[[#This Row],[Which]], 1) = "1", StatusBranchGrade[[#This Row],[Key]], "")</f>
        <v>Active Duty  /  Space Force  /  E-9</v>
      </c>
      <c r="L320" s="17" t="str">
        <f>IF(LEFT(StatusBranchGrade[[#This Row],[Which]], 1) = "1", StatusBranchGrade[[#This Row],[Key0]], "")</f>
        <v>Active Duty  /  Space Force</v>
      </c>
      <c r="M320" s="17" t="str">
        <f>IF(RIGHT(StatusBranchGrade[[#This Row],[Which]], 1) = "2", StatusBranchGrade[[#This Row],[Key]], "")</f>
        <v>Active Duty  /  Space Force  /  E-9</v>
      </c>
      <c r="N320" s="17" t="str">
        <f>IF(RIGHT(StatusBranchGrade[[#This Row],[Which]], 1) = "2", StatusBranchGrade[[#This Row],[Key0]], "")</f>
        <v>Active Duty  /  Space Force</v>
      </c>
      <c r="O320" s="17" t="s">
        <v>296</v>
      </c>
      <c r="P320" s="17"/>
      <c r="Q320" s="63">
        <f>--ISNUMBER(IF(StatusBranchGrade[[#This Row],[Sponsor0]] = 'Calculation Worksheet'!$AV$6 &amp; "  /  " &amp; 'Calculation Worksheet'!$AV$7, 1, ""))</f>
        <v>0</v>
      </c>
      <c r="R320" s="63" t="str">
        <f>IF(StatusBranchGrade[[#This Row],[S1]] = 1, COUNTIF($Q$3:Q320, 1), "")</f>
        <v/>
      </c>
      <c r="S320" s="63" t="str">
        <f>IFERROR(INDEX(StatusBranchGrade[Rank/Grade], MATCH(ROWS($R$3:R320)-1, StatusBranchGrade[S2], 0)), "") &amp; ""</f>
        <v/>
      </c>
      <c r="T320" s="63">
        <f>--ISNUMBER(IF(StatusBranchGrade[[#This Row],[Spouse0]] = 'Calculation Worksheet'!$CG$6 &amp; "  /  " &amp; 'Calculation Worksheet'!$CG$7, 1, ""))</f>
        <v>0</v>
      </c>
      <c r="U320" s="63" t="str">
        <f>IF(StatusBranchGrade[[#This Row],[T1]] = 1, COUNTIF($T$3:T320, 1), "")</f>
        <v/>
      </c>
      <c r="V320" s="63" t="str">
        <f>IFERROR(INDEX(StatusBranchGrade[Rank/Grade], MATCH(ROWS($U$3:U320)-1, StatusBranchGrade[T2], 0)), "") &amp; ""</f>
        <v/>
      </c>
      <c r="W320" s="63"/>
    </row>
    <row r="321" spans="1:23" x14ac:dyDescent="0.25">
      <c r="A321">
        <v>5</v>
      </c>
      <c r="B321" t="s">
        <v>216</v>
      </c>
      <c r="C321" t="s">
        <v>185</v>
      </c>
      <c r="D321" t="s">
        <v>91</v>
      </c>
      <c r="E321" t="str">
        <f>IF(StatusBranchGrade[[#This Row],[Status]] = "CYS", "DoD", StatusBranchGrade[[#This Row],[Rank]] &amp; "")</f>
        <v>O-1</v>
      </c>
      <c r="F321" t="s">
        <v>91</v>
      </c>
      <c r="G321" t="str">
        <f>IF(StatusBranchGrade[[#This Row],[Rank]] = StatusBranchGrade[[#This Row],[Grade]], StatusBranchGrade[[#This Row],[Rank]], StatusBranchGrade[[#This Row],[Grade]] &amp; "/" &amp; StatusBranchGrade[[#This Row],[Rank]]) &amp; ""</f>
        <v>O-1</v>
      </c>
      <c r="H3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O-1</v>
      </c>
      <c r="I321" s="17" t="str">
        <f>SUBSTITUTE(SUBSTITUTE(SUBSTITUTE(StatusBranchGrade[[#This Row],[Status]] &amp; "  /  " &amp; StatusBranchGrade[[#This Row],[Branch]] &amp; ";", "  /  ;", ";"), "  /  ;", ";"), ";", "")</f>
        <v>Active Duty  /  Space Force</v>
      </c>
      <c r="J321">
        <v>12</v>
      </c>
      <c r="K321" s="17" t="str">
        <f>IF(LEFT(StatusBranchGrade[[#This Row],[Which]], 1) = "1", StatusBranchGrade[[#This Row],[Key]], "")</f>
        <v>Active Duty  /  Space Force  /  O-1</v>
      </c>
      <c r="L321" s="17" t="str">
        <f>IF(LEFT(StatusBranchGrade[[#This Row],[Which]], 1) = "1", StatusBranchGrade[[#This Row],[Key0]], "")</f>
        <v>Active Duty  /  Space Force</v>
      </c>
      <c r="M321" s="17" t="str">
        <f>IF(RIGHT(StatusBranchGrade[[#This Row],[Which]], 1) = "2", StatusBranchGrade[[#This Row],[Key]], "")</f>
        <v>Active Duty  /  Space Force  /  O-1</v>
      </c>
      <c r="N321" s="17" t="str">
        <f>IF(RIGHT(StatusBranchGrade[[#This Row],[Which]], 1) = "2", StatusBranchGrade[[#This Row],[Key0]], "")</f>
        <v>Active Duty  /  Space Force</v>
      </c>
      <c r="O321" s="17" t="s">
        <v>296</v>
      </c>
      <c r="P321" s="17"/>
      <c r="Q321" s="63">
        <f>--ISNUMBER(IF(StatusBranchGrade[[#This Row],[Sponsor0]] = 'Calculation Worksheet'!$AV$6 &amp; "  /  " &amp; 'Calculation Worksheet'!$AV$7, 1, ""))</f>
        <v>0</v>
      </c>
      <c r="R321" s="63" t="str">
        <f>IF(StatusBranchGrade[[#This Row],[S1]] = 1, COUNTIF($Q$3:Q321, 1), "")</f>
        <v/>
      </c>
      <c r="S321" s="63" t="str">
        <f>IFERROR(INDEX(StatusBranchGrade[Rank/Grade], MATCH(ROWS($R$3:R321)-1, StatusBranchGrade[S2], 0)), "") &amp; ""</f>
        <v/>
      </c>
      <c r="T321" s="63">
        <f>--ISNUMBER(IF(StatusBranchGrade[[#This Row],[Spouse0]] = 'Calculation Worksheet'!$CG$6 &amp; "  /  " &amp; 'Calculation Worksheet'!$CG$7, 1, ""))</f>
        <v>0</v>
      </c>
      <c r="U321" s="63" t="str">
        <f>IF(StatusBranchGrade[[#This Row],[T1]] = 1, COUNTIF($T$3:T321, 1), "")</f>
        <v/>
      </c>
      <c r="V321" s="63" t="str">
        <f>IFERROR(INDEX(StatusBranchGrade[Rank/Grade], MATCH(ROWS($U$3:U321)-1, StatusBranchGrade[T2], 0)), "") &amp; ""</f>
        <v/>
      </c>
      <c r="W321" s="63"/>
    </row>
    <row r="322" spans="1:23" x14ac:dyDescent="0.25">
      <c r="A322">
        <v>5</v>
      </c>
      <c r="B322" t="s">
        <v>216</v>
      </c>
      <c r="C322" t="s">
        <v>185</v>
      </c>
      <c r="D322" s="75" t="s">
        <v>10</v>
      </c>
      <c r="E322" s="75" t="str">
        <f>IF(StatusBranchGrade[[#This Row],[Status]] = "CYS", "DoD", StatusBranchGrade[[#This Row],[Rank]] &amp; "")</f>
        <v>O1E</v>
      </c>
      <c r="F322" s="75" t="s">
        <v>91</v>
      </c>
      <c r="G322" s="75" t="str">
        <f>IF(StatusBranchGrade[[#This Row],[Rank]] = StatusBranchGrade[[#This Row],[Grade]], StatusBranchGrade[[#This Row],[Rank]], StatusBranchGrade[[#This Row],[Grade]] &amp; "/" &amp; StatusBranchGrade[[#This Row],[Rank]]) &amp; ""</f>
        <v>O-1/O1E</v>
      </c>
      <c r="H3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O-1/O1E</v>
      </c>
      <c r="I322" s="17" t="str">
        <f>SUBSTITUTE(SUBSTITUTE(SUBSTITUTE(StatusBranchGrade[[#This Row],[Status]] &amp; "  /  " &amp; StatusBranchGrade[[#This Row],[Branch]] &amp; ";", "  /  ;", ";"), "  /  ;", ";"), ";", "")</f>
        <v>Active Duty  /  Space Force</v>
      </c>
      <c r="J322">
        <v>12</v>
      </c>
      <c r="K322" s="17" t="str">
        <f>IF(LEFT(StatusBranchGrade[[#This Row],[Which]], 1) = "1", StatusBranchGrade[[#This Row],[Key]], "")</f>
        <v>Active Duty  /  Space Force  /  O-1/O1E</v>
      </c>
      <c r="L322" s="17" t="str">
        <f>IF(LEFT(StatusBranchGrade[[#This Row],[Which]], 1) = "1", StatusBranchGrade[[#This Row],[Key0]], "")</f>
        <v>Active Duty  /  Space Force</v>
      </c>
      <c r="M322" s="17" t="str">
        <f>IF(RIGHT(StatusBranchGrade[[#This Row],[Which]], 1) = "2", StatusBranchGrade[[#This Row],[Key]], "")</f>
        <v>Active Duty  /  Space Force  /  O-1/O1E</v>
      </c>
      <c r="N322" s="17" t="str">
        <f>IF(RIGHT(StatusBranchGrade[[#This Row],[Which]], 1) = "2", StatusBranchGrade[[#This Row],[Key0]], "")</f>
        <v>Active Duty  /  Space Force</v>
      </c>
      <c r="O322" s="17" t="s">
        <v>296</v>
      </c>
      <c r="P322" s="17"/>
      <c r="Q322" s="63">
        <f>--ISNUMBER(IF(StatusBranchGrade[[#This Row],[Sponsor0]] = 'Calculation Worksheet'!$AV$6 &amp; "  /  " &amp; 'Calculation Worksheet'!$AV$7, 1, ""))</f>
        <v>0</v>
      </c>
      <c r="R322" s="63" t="str">
        <f>IF(StatusBranchGrade[[#This Row],[S1]] = 1, COUNTIF($Q$3:Q322, 1), "")</f>
        <v/>
      </c>
      <c r="S322" s="63" t="str">
        <f>IFERROR(INDEX(StatusBranchGrade[Rank/Grade], MATCH(ROWS($R$3:R322)-1, StatusBranchGrade[S2], 0)), "") &amp; ""</f>
        <v/>
      </c>
      <c r="T322" s="63">
        <f>--ISNUMBER(IF(StatusBranchGrade[[#This Row],[Spouse0]] = 'Calculation Worksheet'!$CG$6 &amp; "  /  " &amp; 'Calculation Worksheet'!$CG$7, 1, ""))</f>
        <v>0</v>
      </c>
      <c r="U322" s="63" t="str">
        <f>IF(StatusBranchGrade[[#This Row],[T1]] = 1, COUNTIF($T$3:T322, 1), "")</f>
        <v/>
      </c>
      <c r="V322" s="63" t="str">
        <f>IFERROR(INDEX(StatusBranchGrade[Rank/Grade], MATCH(ROWS($U$3:U322)-1, StatusBranchGrade[T2], 0)), "") &amp; ""</f>
        <v/>
      </c>
      <c r="W322" s="63"/>
    </row>
    <row r="323" spans="1:23" x14ac:dyDescent="0.25">
      <c r="A323">
        <v>5</v>
      </c>
      <c r="B323" t="s">
        <v>216</v>
      </c>
      <c r="C323" t="s">
        <v>185</v>
      </c>
      <c r="D323" t="s">
        <v>82</v>
      </c>
      <c r="E323" t="str">
        <f>IF(StatusBranchGrade[[#This Row],[Status]] = "CYS", "DoD", StatusBranchGrade[[#This Row],[Rank]] &amp; "")</f>
        <v>O-10</v>
      </c>
      <c r="F323" t="s">
        <v>82</v>
      </c>
      <c r="G323" t="str">
        <f>IF(StatusBranchGrade[[#This Row],[Rank]] = StatusBranchGrade[[#This Row],[Grade]], StatusBranchGrade[[#This Row],[Rank]], StatusBranchGrade[[#This Row],[Grade]] &amp; "/" &amp; StatusBranchGrade[[#This Row],[Rank]]) &amp; ""</f>
        <v>O-10</v>
      </c>
      <c r="H3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O-10</v>
      </c>
      <c r="I323" s="17" t="str">
        <f>SUBSTITUTE(SUBSTITUTE(SUBSTITUTE(StatusBranchGrade[[#This Row],[Status]] &amp; "  /  " &amp; StatusBranchGrade[[#This Row],[Branch]] &amp; ";", "  /  ;", ";"), "  /  ;", ";"), ";", "")</f>
        <v>Active Duty  /  Space Force</v>
      </c>
      <c r="J323">
        <v>12</v>
      </c>
      <c r="K323" s="17" t="str">
        <f>IF(LEFT(StatusBranchGrade[[#This Row],[Which]], 1) = "1", StatusBranchGrade[[#This Row],[Key]], "")</f>
        <v>Active Duty  /  Space Force  /  O-10</v>
      </c>
      <c r="L323" s="17" t="str">
        <f>IF(LEFT(StatusBranchGrade[[#This Row],[Which]], 1) = "1", StatusBranchGrade[[#This Row],[Key0]], "")</f>
        <v>Active Duty  /  Space Force</v>
      </c>
      <c r="M323" s="17" t="str">
        <f>IF(RIGHT(StatusBranchGrade[[#This Row],[Which]], 1) = "2", StatusBranchGrade[[#This Row],[Key]], "")</f>
        <v>Active Duty  /  Space Force  /  O-10</v>
      </c>
      <c r="N323" s="17" t="str">
        <f>IF(RIGHT(StatusBranchGrade[[#This Row],[Which]], 1) = "2", StatusBranchGrade[[#This Row],[Key0]], "")</f>
        <v>Active Duty  /  Space Force</v>
      </c>
      <c r="O323" s="17" t="s">
        <v>296</v>
      </c>
      <c r="P323" s="17"/>
      <c r="Q323" s="63">
        <f>--ISNUMBER(IF(StatusBranchGrade[[#This Row],[Sponsor0]] = 'Calculation Worksheet'!$AV$6 &amp; "  /  " &amp; 'Calculation Worksheet'!$AV$7, 1, ""))</f>
        <v>0</v>
      </c>
      <c r="R323" s="63" t="str">
        <f>IF(StatusBranchGrade[[#This Row],[S1]] = 1, COUNTIF($Q$3:Q323, 1), "")</f>
        <v/>
      </c>
      <c r="S323" s="63" t="str">
        <f>IFERROR(INDEX(StatusBranchGrade[Rank/Grade], MATCH(ROWS($R$3:R323)-1, StatusBranchGrade[S2], 0)), "") &amp; ""</f>
        <v/>
      </c>
      <c r="T323" s="63">
        <f>--ISNUMBER(IF(StatusBranchGrade[[#This Row],[Spouse0]] = 'Calculation Worksheet'!$CG$6 &amp; "  /  " &amp; 'Calculation Worksheet'!$CG$7, 1, ""))</f>
        <v>0</v>
      </c>
      <c r="U323" s="63" t="str">
        <f>IF(StatusBranchGrade[[#This Row],[T1]] = 1, COUNTIF($T$3:T323, 1), "")</f>
        <v/>
      </c>
      <c r="V323" s="63" t="str">
        <f>IFERROR(INDEX(StatusBranchGrade[Rank/Grade], MATCH(ROWS($U$3:U323)-1, StatusBranchGrade[T2], 0)), "") &amp; ""</f>
        <v/>
      </c>
      <c r="W323" s="63"/>
    </row>
    <row r="324" spans="1:23" x14ac:dyDescent="0.25">
      <c r="A324">
        <v>5</v>
      </c>
      <c r="B324" t="s">
        <v>216</v>
      </c>
      <c r="C324" t="s">
        <v>185</v>
      </c>
      <c r="D324" t="s">
        <v>90</v>
      </c>
      <c r="E324" t="str">
        <f>IF(StatusBranchGrade[[#This Row],[Status]] = "CYS", "DoD", StatusBranchGrade[[#This Row],[Rank]] &amp; "")</f>
        <v>O-2</v>
      </c>
      <c r="F324" t="s">
        <v>90</v>
      </c>
      <c r="G324" t="str">
        <f>IF(StatusBranchGrade[[#This Row],[Rank]] = StatusBranchGrade[[#This Row],[Grade]], StatusBranchGrade[[#This Row],[Rank]], StatusBranchGrade[[#This Row],[Grade]] &amp; "/" &amp; StatusBranchGrade[[#This Row],[Rank]]) &amp; ""</f>
        <v>O-2</v>
      </c>
      <c r="H3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O-2</v>
      </c>
      <c r="I324" s="17" t="str">
        <f>SUBSTITUTE(SUBSTITUTE(SUBSTITUTE(StatusBranchGrade[[#This Row],[Status]] &amp; "  /  " &amp; StatusBranchGrade[[#This Row],[Branch]] &amp; ";", "  /  ;", ";"), "  /  ;", ";"), ";", "")</f>
        <v>Active Duty  /  Space Force</v>
      </c>
      <c r="J324">
        <v>12</v>
      </c>
      <c r="K324" s="17" t="str">
        <f>IF(LEFT(StatusBranchGrade[[#This Row],[Which]], 1) = "1", StatusBranchGrade[[#This Row],[Key]], "")</f>
        <v>Active Duty  /  Space Force  /  O-2</v>
      </c>
      <c r="L324" s="17" t="str">
        <f>IF(LEFT(StatusBranchGrade[[#This Row],[Which]], 1) = "1", StatusBranchGrade[[#This Row],[Key0]], "")</f>
        <v>Active Duty  /  Space Force</v>
      </c>
      <c r="M324" s="17" t="str">
        <f>IF(RIGHT(StatusBranchGrade[[#This Row],[Which]], 1) = "2", StatusBranchGrade[[#This Row],[Key]], "")</f>
        <v>Active Duty  /  Space Force  /  O-2</v>
      </c>
      <c r="N324" s="17" t="str">
        <f>IF(RIGHT(StatusBranchGrade[[#This Row],[Which]], 1) = "2", StatusBranchGrade[[#This Row],[Key0]], "")</f>
        <v>Active Duty  /  Space Force</v>
      </c>
      <c r="O324" s="17" t="s">
        <v>296</v>
      </c>
      <c r="P324" s="17"/>
      <c r="Q324" s="63">
        <f>--ISNUMBER(IF(StatusBranchGrade[[#This Row],[Sponsor0]] = 'Calculation Worksheet'!$AV$6 &amp; "  /  " &amp; 'Calculation Worksheet'!$AV$7, 1, ""))</f>
        <v>0</v>
      </c>
      <c r="R324" s="63" t="str">
        <f>IF(StatusBranchGrade[[#This Row],[S1]] = 1, COUNTIF($Q$3:Q324, 1), "")</f>
        <v/>
      </c>
      <c r="S324" s="63" t="str">
        <f>IFERROR(INDEX(StatusBranchGrade[Rank/Grade], MATCH(ROWS($R$3:R324)-1, StatusBranchGrade[S2], 0)), "") &amp; ""</f>
        <v/>
      </c>
      <c r="T324" s="63">
        <f>--ISNUMBER(IF(StatusBranchGrade[[#This Row],[Spouse0]] = 'Calculation Worksheet'!$CG$6 &amp; "  /  " &amp; 'Calculation Worksheet'!$CG$7, 1, ""))</f>
        <v>0</v>
      </c>
      <c r="U324" s="63" t="str">
        <f>IF(StatusBranchGrade[[#This Row],[T1]] = 1, COUNTIF($T$3:T324, 1), "")</f>
        <v/>
      </c>
      <c r="V324" s="63" t="str">
        <f>IFERROR(INDEX(StatusBranchGrade[Rank/Grade], MATCH(ROWS($U$3:U324)-1, StatusBranchGrade[T2], 0)), "") &amp; ""</f>
        <v/>
      </c>
      <c r="W324" s="63"/>
    </row>
    <row r="325" spans="1:23" x14ac:dyDescent="0.25">
      <c r="A325">
        <v>5</v>
      </c>
      <c r="B325" t="s">
        <v>216</v>
      </c>
      <c r="C325" t="s">
        <v>185</v>
      </c>
      <c r="D325" s="75" t="s">
        <v>11</v>
      </c>
      <c r="E325" s="75" t="str">
        <f>IF(StatusBranchGrade[[#This Row],[Status]] = "CYS", "DoD", StatusBranchGrade[[#This Row],[Rank]] &amp; "")</f>
        <v>O2E</v>
      </c>
      <c r="F325" s="75" t="s">
        <v>90</v>
      </c>
      <c r="G325" s="75" t="str">
        <f>IF(StatusBranchGrade[[#This Row],[Rank]] = StatusBranchGrade[[#This Row],[Grade]], StatusBranchGrade[[#This Row],[Rank]], StatusBranchGrade[[#This Row],[Grade]] &amp; "/" &amp; StatusBranchGrade[[#This Row],[Rank]]) &amp; ""</f>
        <v>O-2/O2E</v>
      </c>
      <c r="H3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O-2/O2E</v>
      </c>
      <c r="I325" s="17" t="str">
        <f>SUBSTITUTE(SUBSTITUTE(SUBSTITUTE(StatusBranchGrade[[#This Row],[Status]] &amp; "  /  " &amp; StatusBranchGrade[[#This Row],[Branch]] &amp; ";", "  /  ;", ";"), "  /  ;", ";"), ";", "")</f>
        <v>Active Duty  /  Space Force</v>
      </c>
      <c r="J325">
        <v>12</v>
      </c>
      <c r="K325" s="17" t="str">
        <f>IF(LEFT(StatusBranchGrade[[#This Row],[Which]], 1) = "1", StatusBranchGrade[[#This Row],[Key]], "")</f>
        <v>Active Duty  /  Space Force  /  O-2/O2E</v>
      </c>
      <c r="L325" s="17" t="str">
        <f>IF(LEFT(StatusBranchGrade[[#This Row],[Which]], 1) = "1", StatusBranchGrade[[#This Row],[Key0]], "")</f>
        <v>Active Duty  /  Space Force</v>
      </c>
      <c r="M325" s="17" t="str">
        <f>IF(RIGHT(StatusBranchGrade[[#This Row],[Which]], 1) = "2", StatusBranchGrade[[#This Row],[Key]], "")</f>
        <v>Active Duty  /  Space Force  /  O-2/O2E</v>
      </c>
      <c r="N325" s="17" t="str">
        <f>IF(RIGHT(StatusBranchGrade[[#This Row],[Which]], 1) = "2", StatusBranchGrade[[#This Row],[Key0]], "")</f>
        <v>Active Duty  /  Space Force</v>
      </c>
      <c r="O325" s="17" t="s">
        <v>296</v>
      </c>
      <c r="P325" s="17"/>
      <c r="Q325" s="63">
        <f>--ISNUMBER(IF(StatusBranchGrade[[#This Row],[Sponsor0]] = 'Calculation Worksheet'!$AV$6 &amp; "  /  " &amp; 'Calculation Worksheet'!$AV$7, 1, ""))</f>
        <v>0</v>
      </c>
      <c r="R325" s="63" t="str">
        <f>IF(StatusBranchGrade[[#This Row],[S1]] = 1, COUNTIF($Q$3:Q325, 1), "")</f>
        <v/>
      </c>
      <c r="S325" s="63" t="str">
        <f>IFERROR(INDEX(StatusBranchGrade[Rank/Grade], MATCH(ROWS($R$3:R325)-1, StatusBranchGrade[S2], 0)), "") &amp; ""</f>
        <v/>
      </c>
      <c r="T325" s="63">
        <f>--ISNUMBER(IF(StatusBranchGrade[[#This Row],[Spouse0]] = 'Calculation Worksheet'!$CG$6 &amp; "  /  " &amp; 'Calculation Worksheet'!$CG$7, 1, ""))</f>
        <v>0</v>
      </c>
      <c r="U325" s="63" t="str">
        <f>IF(StatusBranchGrade[[#This Row],[T1]] = 1, COUNTIF($T$3:T325, 1), "")</f>
        <v/>
      </c>
      <c r="V325" s="63" t="str">
        <f>IFERROR(INDEX(StatusBranchGrade[Rank/Grade], MATCH(ROWS($U$3:U325)-1, StatusBranchGrade[T2], 0)), "") &amp; ""</f>
        <v/>
      </c>
      <c r="W325" s="63"/>
    </row>
    <row r="326" spans="1:23" x14ac:dyDescent="0.25">
      <c r="A326">
        <v>5</v>
      </c>
      <c r="B326" t="s">
        <v>216</v>
      </c>
      <c r="C326" t="s">
        <v>185</v>
      </c>
      <c r="D326" t="s">
        <v>89</v>
      </c>
      <c r="E326" t="str">
        <f>IF(StatusBranchGrade[[#This Row],[Status]] = "CYS", "DoD", StatusBranchGrade[[#This Row],[Rank]] &amp; "")</f>
        <v>O-3</v>
      </c>
      <c r="F326" t="s">
        <v>89</v>
      </c>
      <c r="G326" t="str">
        <f>IF(StatusBranchGrade[[#This Row],[Rank]] = StatusBranchGrade[[#This Row],[Grade]], StatusBranchGrade[[#This Row],[Rank]], StatusBranchGrade[[#This Row],[Grade]] &amp; "/" &amp; StatusBranchGrade[[#This Row],[Rank]]) &amp; ""</f>
        <v>O-3</v>
      </c>
      <c r="H3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O-3</v>
      </c>
      <c r="I326" s="17" t="str">
        <f>SUBSTITUTE(SUBSTITUTE(SUBSTITUTE(StatusBranchGrade[[#This Row],[Status]] &amp; "  /  " &amp; StatusBranchGrade[[#This Row],[Branch]] &amp; ";", "  /  ;", ";"), "  /  ;", ";"), ";", "")</f>
        <v>Active Duty  /  Space Force</v>
      </c>
      <c r="J326">
        <v>12</v>
      </c>
      <c r="K326" s="17" t="str">
        <f>IF(LEFT(StatusBranchGrade[[#This Row],[Which]], 1) = "1", StatusBranchGrade[[#This Row],[Key]], "")</f>
        <v>Active Duty  /  Space Force  /  O-3</v>
      </c>
      <c r="L326" s="17" t="str">
        <f>IF(LEFT(StatusBranchGrade[[#This Row],[Which]], 1) = "1", StatusBranchGrade[[#This Row],[Key0]], "")</f>
        <v>Active Duty  /  Space Force</v>
      </c>
      <c r="M326" s="17" t="str">
        <f>IF(RIGHT(StatusBranchGrade[[#This Row],[Which]], 1) = "2", StatusBranchGrade[[#This Row],[Key]], "")</f>
        <v>Active Duty  /  Space Force  /  O-3</v>
      </c>
      <c r="N326" s="17" t="str">
        <f>IF(RIGHT(StatusBranchGrade[[#This Row],[Which]], 1) = "2", StatusBranchGrade[[#This Row],[Key0]], "")</f>
        <v>Active Duty  /  Space Force</v>
      </c>
      <c r="O326" s="17" t="s">
        <v>296</v>
      </c>
      <c r="P326" s="17"/>
      <c r="Q326" s="63">
        <f>--ISNUMBER(IF(StatusBranchGrade[[#This Row],[Sponsor0]] = 'Calculation Worksheet'!$AV$6 &amp; "  /  " &amp; 'Calculation Worksheet'!$AV$7, 1, ""))</f>
        <v>0</v>
      </c>
      <c r="R326" s="63" t="str">
        <f>IF(StatusBranchGrade[[#This Row],[S1]] = 1, COUNTIF($Q$3:Q326, 1), "")</f>
        <v/>
      </c>
      <c r="S326" s="63" t="str">
        <f>IFERROR(INDEX(StatusBranchGrade[Rank/Grade], MATCH(ROWS($R$3:R326)-1, StatusBranchGrade[S2], 0)), "") &amp; ""</f>
        <v/>
      </c>
      <c r="T326" s="63">
        <f>--ISNUMBER(IF(StatusBranchGrade[[#This Row],[Spouse0]] = 'Calculation Worksheet'!$CG$6 &amp; "  /  " &amp; 'Calculation Worksheet'!$CG$7, 1, ""))</f>
        <v>0</v>
      </c>
      <c r="U326" s="63" t="str">
        <f>IF(StatusBranchGrade[[#This Row],[T1]] = 1, COUNTIF($T$3:T326, 1), "")</f>
        <v/>
      </c>
      <c r="V326" s="63" t="str">
        <f>IFERROR(INDEX(StatusBranchGrade[Rank/Grade], MATCH(ROWS($U$3:U326)-1, StatusBranchGrade[T2], 0)), "") &amp; ""</f>
        <v/>
      </c>
      <c r="W326" s="63"/>
    </row>
    <row r="327" spans="1:23" x14ac:dyDescent="0.25">
      <c r="A327">
        <v>5</v>
      </c>
      <c r="B327" t="s">
        <v>216</v>
      </c>
      <c r="C327" t="s">
        <v>185</v>
      </c>
      <c r="D327" s="75" t="s">
        <v>12</v>
      </c>
      <c r="E327" s="75" t="str">
        <f>IF(StatusBranchGrade[[#This Row],[Status]] = "CYS", "DoD", StatusBranchGrade[[#This Row],[Rank]] &amp; "")</f>
        <v>O3E</v>
      </c>
      <c r="F327" s="75" t="s">
        <v>89</v>
      </c>
      <c r="G327" s="75" t="str">
        <f>IF(StatusBranchGrade[[#This Row],[Rank]] = StatusBranchGrade[[#This Row],[Grade]], StatusBranchGrade[[#This Row],[Rank]], StatusBranchGrade[[#This Row],[Grade]] &amp; "/" &amp; StatusBranchGrade[[#This Row],[Rank]]) &amp; ""</f>
        <v>O-3/O3E</v>
      </c>
      <c r="H3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O-3/O3E</v>
      </c>
      <c r="I327" s="17" t="str">
        <f>SUBSTITUTE(SUBSTITUTE(SUBSTITUTE(StatusBranchGrade[[#This Row],[Status]] &amp; "  /  " &amp; StatusBranchGrade[[#This Row],[Branch]] &amp; ";", "  /  ;", ";"), "  /  ;", ";"), ";", "")</f>
        <v>Active Duty  /  Space Force</v>
      </c>
      <c r="J327">
        <v>12</v>
      </c>
      <c r="K327" s="17" t="str">
        <f>IF(LEFT(StatusBranchGrade[[#This Row],[Which]], 1) = "1", StatusBranchGrade[[#This Row],[Key]], "")</f>
        <v>Active Duty  /  Space Force  /  O-3/O3E</v>
      </c>
      <c r="L327" s="17" t="str">
        <f>IF(LEFT(StatusBranchGrade[[#This Row],[Which]], 1) = "1", StatusBranchGrade[[#This Row],[Key0]], "")</f>
        <v>Active Duty  /  Space Force</v>
      </c>
      <c r="M327" s="17" t="str">
        <f>IF(RIGHT(StatusBranchGrade[[#This Row],[Which]], 1) = "2", StatusBranchGrade[[#This Row],[Key]], "")</f>
        <v>Active Duty  /  Space Force  /  O-3/O3E</v>
      </c>
      <c r="N327" s="17" t="str">
        <f>IF(RIGHT(StatusBranchGrade[[#This Row],[Which]], 1) = "2", StatusBranchGrade[[#This Row],[Key0]], "")</f>
        <v>Active Duty  /  Space Force</v>
      </c>
      <c r="O327" s="17" t="s">
        <v>296</v>
      </c>
      <c r="P327" s="17"/>
      <c r="Q327" s="63">
        <f>--ISNUMBER(IF(StatusBranchGrade[[#This Row],[Sponsor0]] = 'Calculation Worksheet'!$AV$6 &amp; "  /  " &amp; 'Calculation Worksheet'!$AV$7, 1, ""))</f>
        <v>0</v>
      </c>
      <c r="R327" s="63" t="str">
        <f>IF(StatusBranchGrade[[#This Row],[S1]] = 1, COUNTIF($Q$3:Q327, 1), "")</f>
        <v/>
      </c>
      <c r="S327" s="63" t="str">
        <f>IFERROR(INDEX(StatusBranchGrade[Rank/Grade], MATCH(ROWS($R$3:R327)-1, StatusBranchGrade[S2], 0)), "") &amp; ""</f>
        <v/>
      </c>
      <c r="T327" s="63">
        <f>--ISNUMBER(IF(StatusBranchGrade[[#This Row],[Spouse0]] = 'Calculation Worksheet'!$CG$6 &amp; "  /  " &amp; 'Calculation Worksheet'!$CG$7, 1, ""))</f>
        <v>0</v>
      </c>
      <c r="U327" s="63" t="str">
        <f>IF(StatusBranchGrade[[#This Row],[T1]] = 1, COUNTIF($T$3:T327, 1), "")</f>
        <v/>
      </c>
      <c r="V327" s="63" t="str">
        <f>IFERROR(INDEX(StatusBranchGrade[Rank/Grade], MATCH(ROWS($U$3:U327)-1, StatusBranchGrade[T2], 0)), "") &amp; ""</f>
        <v/>
      </c>
      <c r="W327" s="63"/>
    </row>
    <row r="328" spans="1:23" x14ac:dyDescent="0.25">
      <c r="A328">
        <v>5</v>
      </c>
      <c r="B328" t="s">
        <v>216</v>
      </c>
      <c r="C328" t="s">
        <v>185</v>
      </c>
      <c r="D328" t="s">
        <v>88</v>
      </c>
      <c r="E328" t="str">
        <f>IF(StatusBranchGrade[[#This Row],[Status]] = "CYS", "DoD", StatusBranchGrade[[#This Row],[Rank]] &amp; "")</f>
        <v>O-4</v>
      </c>
      <c r="F328" t="s">
        <v>88</v>
      </c>
      <c r="G328" t="str">
        <f>IF(StatusBranchGrade[[#This Row],[Rank]] = StatusBranchGrade[[#This Row],[Grade]], StatusBranchGrade[[#This Row],[Rank]], StatusBranchGrade[[#This Row],[Grade]] &amp; "/" &amp; StatusBranchGrade[[#This Row],[Rank]]) &amp; ""</f>
        <v>O-4</v>
      </c>
      <c r="H3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O-4</v>
      </c>
      <c r="I328" s="17" t="str">
        <f>SUBSTITUTE(SUBSTITUTE(SUBSTITUTE(StatusBranchGrade[[#This Row],[Status]] &amp; "  /  " &amp; StatusBranchGrade[[#This Row],[Branch]] &amp; ";", "  /  ;", ";"), "  /  ;", ";"), ";", "")</f>
        <v>Active Duty  /  Space Force</v>
      </c>
      <c r="J328">
        <v>12</v>
      </c>
      <c r="K328" s="17" t="str">
        <f>IF(LEFT(StatusBranchGrade[[#This Row],[Which]], 1) = "1", StatusBranchGrade[[#This Row],[Key]], "")</f>
        <v>Active Duty  /  Space Force  /  O-4</v>
      </c>
      <c r="L328" s="17" t="str">
        <f>IF(LEFT(StatusBranchGrade[[#This Row],[Which]], 1) = "1", StatusBranchGrade[[#This Row],[Key0]], "")</f>
        <v>Active Duty  /  Space Force</v>
      </c>
      <c r="M328" s="17" t="str">
        <f>IF(RIGHT(StatusBranchGrade[[#This Row],[Which]], 1) = "2", StatusBranchGrade[[#This Row],[Key]], "")</f>
        <v>Active Duty  /  Space Force  /  O-4</v>
      </c>
      <c r="N328" s="17" t="str">
        <f>IF(RIGHT(StatusBranchGrade[[#This Row],[Which]], 1) = "2", StatusBranchGrade[[#This Row],[Key0]], "")</f>
        <v>Active Duty  /  Space Force</v>
      </c>
      <c r="O328" s="17" t="s">
        <v>296</v>
      </c>
      <c r="P328" s="17"/>
      <c r="Q328" s="63">
        <f>--ISNUMBER(IF(StatusBranchGrade[[#This Row],[Sponsor0]] = 'Calculation Worksheet'!$AV$6 &amp; "  /  " &amp; 'Calculation Worksheet'!$AV$7, 1, ""))</f>
        <v>0</v>
      </c>
      <c r="R328" s="63" t="str">
        <f>IF(StatusBranchGrade[[#This Row],[S1]] = 1, COUNTIF($Q$3:Q328, 1), "")</f>
        <v/>
      </c>
      <c r="S328" s="63" t="str">
        <f>IFERROR(INDEX(StatusBranchGrade[Rank/Grade], MATCH(ROWS($R$3:R328)-1, StatusBranchGrade[S2], 0)), "") &amp; ""</f>
        <v/>
      </c>
      <c r="T328" s="63">
        <f>--ISNUMBER(IF(StatusBranchGrade[[#This Row],[Spouse0]] = 'Calculation Worksheet'!$CG$6 &amp; "  /  " &amp; 'Calculation Worksheet'!$CG$7, 1, ""))</f>
        <v>0</v>
      </c>
      <c r="U328" s="63" t="str">
        <f>IF(StatusBranchGrade[[#This Row],[T1]] = 1, COUNTIF($T$3:T328, 1), "")</f>
        <v/>
      </c>
      <c r="V328" s="63" t="str">
        <f>IFERROR(INDEX(StatusBranchGrade[Rank/Grade], MATCH(ROWS($U$3:U328)-1, StatusBranchGrade[T2], 0)), "") &amp; ""</f>
        <v/>
      </c>
      <c r="W328" s="63"/>
    </row>
    <row r="329" spans="1:23" x14ac:dyDescent="0.25">
      <c r="A329">
        <v>5</v>
      </c>
      <c r="B329" t="s">
        <v>216</v>
      </c>
      <c r="C329" t="s">
        <v>185</v>
      </c>
      <c r="D329" t="s">
        <v>87</v>
      </c>
      <c r="E329" t="str">
        <f>IF(StatusBranchGrade[[#This Row],[Status]] = "CYS", "DoD", StatusBranchGrade[[#This Row],[Rank]] &amp; "")</f>
        <v>O-5</v>
      </c>
      <c r="F329" t="s">
        <v>87</v>
      </c>
      <c r="G329" t="str">
        <f>IF(StatusBranchGrade[[#This Row],[Rank]] = StatusBranchGrade[[#This Row],[Grade]], StatusBranchGrade[[#This Row],[Rank]], StatusBranchGrade[[#This Row],[Grade]] &amp; "/" &amp; StatusBranchGrade[[#This Row],[Rank]]) &amp; ""</f>
        <v>O-5</v>
      </c>
      <c r="H3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O-5</v>
      </c>
      <c r="I329" s="17" t="str">
        <f>SUBSTITUTE(SUBSTITUTE(SUBSTITUTE(StatusBranchGrade[[#This Row],[Status]] &amp; "  /  " &amp; StatusBranchGrade[[#This Row],[Branch]] &amp; ";", "  /  ;", ";"), "  /  ;", ";"), ";", "")</f>
        <v>Active Duty  /  Space Force</v>
      </c>
      <c r="J329">
        <v>12</v>
      </c>
      <c r="K329" s="17" t="str">
        <f>IF(LEFT(StatusBranchGrade[[#This Row],[Which]], 1) = "1", StatusBranchGrade[[#This Row],[Key]], "")</f>
        <v>Active Duty  /  Space Force  /  O-5</v>
      </c>
      <c r="L329" s="17" t="str">
        <f>IF(LEFT(StatusBranchGrade[[#This Row],[Which]], 1) = "1", StatusBranchGrade[[#This Row],[Key0]], "")</f>
        <v>Active Duty  /  Space Force</v>
      </c>
      <c r="M329" s="17" t="str">
        <f>IF(RIGHT(StatusBranchGrade[[#This Row],[Which]], 1) = "2", StatusBranchGrade[[#This Row],[Key]], "")</f>
        <v>Active Duty  /  Space Force  /  O-5</v>
      </c>
      <c r="N329" s="17" t="str">
        <f>IF(RIGHT(StatusBranchGrade[[#This Row],[Which]], 1) = "2", StatusBranchGrade[[#This Row],[Key0]], "")</f>
        <v>Active Duty  /  Space Force</v>
      </c>
      <c r="O329" s="17" t="s">
        <v>296</v>
      </c>
      <c r="P329" s="17"/>
      <c r="Q329" s="63">
        <f>--ISNUMBER(IF(StatusBranchGrade[[#This Row],[Sponsor0]] = 'Calculation Worksheet'!$AV$6 &amp; "  /  " &amp; 'Calculation Worksheet'!$AV$7, 1, ""))</f>
        <v>0</v>
      </c>
      <c r="R329" s="63" t="str">
        <f>IF(StatusBranchGrade[[#This Row],[S1]] = 1, COUNTIF($Q$3:Q329, 1), "")</f>
        <v/>
      </c>
      <c r="S329" s="63" t="str">
        <f>IFERROR(INDEX(StatusBranchGrade[Rank/Grade], MATCH(ROWS($R$3:R329)-1, StatusBranchGrade[S2], 0)), "") &amp; ""</f>
        <v/>
      </c>
      <c r="T329" s="63">
        <f>--ISNUMBER(IF(StatusBranchGrade[[#This Row],[Spouse0]] = 'Calculation Worksheet'!$CG$6 &amp; "  /  " &amp; 'Calculation Worksheet'!$CG$7, 1, ""))</f>
        <v>0</v>
      </c>
      <c r="U329" s="63" t="str">
        <f>IF(StatusBranchGrade[[#This Row],[T1]] = 1, COUNTIF($T$3:T329, 1), "")</f>
        <v/>
      </c>
      <c r="V329" s="63" t="str">
        <f>IFERROR(INDEX(StatusBranchGrade[Rank/Grade], MATCH(ROWS($U$3:U329)-1, StatusBranchGrade[T2], 0)), "") &amp; ""</f>
        <v/>
      </c>
      <c r="W329" s="63"/>
    </row>
    <row r="330" spans="1:23" x14ac:dyDescent="0.25">
      <c r="A330">
        <v>5</v>
      </c>
      <c r="B330" t="s">
        <v>216</v>
      </c>
      <c r="C330" t="s">
        <v>185</v>
      </c>
      <c r="D330" t="s">
        <v>86</v>
      </c>
      <c r="E330" t="str">
        <f>IF(StatusBranchGrade[[#This Row],[Status]] = "CYS", "DoD", StatusBranchGrade[[#This Row],[Rank]] &amp; "")</f>
        <v>O-6</v>
      </c>
      <c r="F330" t="s">
        <v>86</v>
      </c>
      <c r="G330" t="str">
        <f>IF(StatusBranchGrade[[#This Row],[Rank]] = StatusBranchGrade[[#This Row],[Grade]], StatusBranchGrade[[#This Row],[Rank]], StatusBranchGrade[[#This Row],[Grade]] &amp; "/" &amp; StatusBranchGrade[[#This Row],[Rank]]) &amp; ""</f>
        <v>O-6</v>
      </c>
      <c r="H3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O-6</v>
      </c>
      <c r="I330" s="17" t="str">
        <f>SUBSTITUTE(SUBSTITUTE(SUBSTITUTE(StatusBranchGrade[[#This Row],[Status]] &amp; "  /  " &amp; StatusBranchGrade[[#This Row],[Branch]] &amp; ";", "  /  ;", ";"), "  /  ;", ";"), ";", "")</f>
        <v>Active Duty  /  Space Force</v>
      </c>
      <c r="J330">
        <v>12</v>
      </c>
      <c r="K330" s="17" t="str">
        <f>IF(LEFT(StatusBranchGrade[[#This Row],[Which]], 1) = "1", StatusBranchGrade[[#This Row],[Key]], "")</f>
        <v>Active Duty  /  Space Force  /  O-6</v>
      </c>
      <c r="L330" s="17" t="str">
        <f>IF(LEFT(StatusBranchGrade[[#This Row],[Which]], 1) = "1", StatusBranchGrade[[#This Row],[Key0]], "")</f>
        <v>Active Duty  /  Space Force</v>
      </c>
      <c r="M330" s="17" t="str">
        <f>IF(RIGHT(StatusBranchGrade[[#This Row],[Which]], 1) = "2", StatusBranchGrade[[#This Row],[Key]], "")</f>
        <v>Active Duty  /  Space Force  /  O-6</v>
      </c>
      <c r="N330" s="17" t="str">
        <f>IF(RIGHT(StatusBranchGrade[[#This Row],[Which]], 1) = "2", StatusBranchGrade[[#This Row],[Key0]], "")</f>
        <v>Active Duty  /  Space Force</v>
      </c>
      <c r="O330" s="17" t="s">
        <v>296</v>
      </c>
      <c r="P330" s="17"/>
      <c r="Q330" s="63">
        <f>--ISNUMBER(IF(StatusBranchGrade[[#This Row],[Sponsor0]] = 'Calculation Worksheet'!$AV$6 &amp; "  /  " &amp; 'Calculation Worksheet'!$AV$7, 1, ""))</f>
        <v>0</v>
      </c>
      <c r="R330" s="63" t="str">
        <f>IF(StatusBranchGrade[[#This Row],[S1]] = 1, COUNTIF($Q$3:Q330, 1), "")</f>
        <v/>
      </c>
      <c r="S330" s="63" t="str">
        <f>IFERROR(INDEX(StatusBranchGrade[Rank/Grade], MATCH(ROWS($R$3:R330)-1, StatusBranchGrade[S2], 0)), "") &amp; ""</f>
        <v/>
      </c>
      <c r="T330" s="63">
        <f>--ISNUMBER(IF(StatusBranchGrade[[#This Row],[Spouse0]] = 'Calculation Worksheet'!$CG$6 &amp; "  /  " &amp; 'Calculation Worksheet'!$CG$7, 1, ""))</f>
        <v>0</v>
      </c>
      <c r="U330" s="63" t="str">
        <f>IF(StatusBranchGrade[[#This Row],[T1]] = 1, COUNTIF($T$3:T330, 1), "")</f>
        <v/>
      </c>
      <c r="V330" s="63" t="str">
        <f>IFERROR(INDEX(StatusBranchGrade[Rank/Grade], MATCH(ROWS($U$3:U330)-1, StatusBranchGrade[T2], 0)), "") &amp; ""</f>
        <v/>
      </c>
      <c r="W330" s="63"/>
    </row>
    <row r="331" spans="1:23" x14ac:dyDescent="0.25">
      <c r="A331">
        <v>5</v>
      </c>
      <c r="B331" t="s">
        <v>216</v>
      </c>
      <c r="C331" t="s">
        <v>185</v>
      </c>
      <c r="D331" t="s">
        <v>85</v>
      </c>
      <c r="E331" t="str">
        <f>IF(StatusBranchGrade[[#This Row],[Status]] = "CYS", "DoD", StatusBranchGrade[[#This Row],[Rank]] &amp; "")</f>
        <v>O-7</v>
      </c>
      <c r="F331" t="s">
        <v>85</v>
      </c>
      <c r="G331" t="str">
        <f>IF(StatusBranchGrade[[#This Row],[Rank]] = StatusBranchGrade[[#This Row],[Grade]], StatusBranchGrade[[#This Row],[Rank]], StatusBranchGrade[[#This Row],[Grade]] &amp; "/" &amp; StatusBranchGrade[[#This Row],[Rank]]) &amp; ""</f>
        <v>O-7</v>
      </c>
      <c r="H3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O-7</v>
      </c>
      <c r="I331" s="17" t="str">
        <f>SUBSTITUTE(SUBSTITUTE(SUBSTITUTE(StatusBranchGrade[[#This Row],[Status]] &amp; "  /  " &amp; StatusBranchGrade[[#This Row],[Branch]] &amp; ";", "  /  ;", ";"), "  /  ;", ";"), ";", "")</f>
        <v>Active Duty  /  Space Force</v>
      </c>
      <c r="J331">
        <v>12</v>
      </c>
      <c r="K331" s="17" t="str">
        <f>IF(LEFT(StatusBranchGrade[[#This Row],[Which]], 1) = "1", StatusBranchGrade[[#This Row],[Key]], "")</f>
        <v>Active Duty  /  Space Force  /  O-7</v>
      </c>
      <c r="L331" s="17" t="str">
        <f>IF(LEFT(StatusBranchGrade[[#This Row],[Which]], 1) = "1", StatusBranchGrade[[#This Row],[Key0]], "")</f>
        <v>Active Duty  /  Space Force</v>
      </c>
      <c r="M331" s="17" t="str">
        <f>IF(RIGHT(StatusBranchGrade[[#This Row],[Which]], 1) = "2", StatusBranchGrade[[#This Row],[Key]], "")</f>
        <v>Active Duty  /  Space Force  /  O-7</v>
      </c>
      <c r="N331" s="17" t="str">
        <f>IF(RIGHT(StatusBranchGrade[[#This Row],[Which]], 1) = "2", StatusBranchGrade[[#This Row],[Key0]], "")</f>
        <v>Active Duty  /  Space Force</v>
      </c>
      <c r="O331" s="17" t="s">
        <v>296</v>
      </c>
      <c r="P331" s="17"/>
      <c r="Q331" s="63">
        <f>--ISNUMBER(IF(StatusBranchGrade[[#This Row],[Sponsor0]] = 'Calculation Worksheet'!$AV$6 &amp; "  /  " &amp; 'Calculation Worksheet'!$AV$7, 1, ""))</f>
        <v>0</v>
      </c>
      <c r="R331" s="63" t="str">
        <f>IF(StatusBranchGrade[[#This Row],[S1]] = 1, COUNTIF($Q$3:Q331, 1), "")</f>
        <v/>
      </c>
      <c r="S331" s="63" t="str">
        <f>IFERROR(INDEX(StatusBranchGrade[Rank/Grade], MATCH(ROWS($R$3:R331)-1, StatusBranchGrade[S2], 0)), "") &amp; ""</f>
        <v/>
      </c>
      <c r="T331" s="63">
        <f>--ISNUMBER(IF(StatusBranchGrade[[#This Row],[Spouse0]] = 'Calculation Worksheet'!$CG$6 &amp; "  /  " &amp; 'Calculation Worksheet'!$CG$7, 1, ""))</f>
        <v>0</v>
      </c>
      <c r="U331" s="63" t="str">
        <f>IF(StatusBranchGrade[[#This Row],[T1]] = 1, COUNTIF($T$3:T331, 1), "")</f>
        <v/>
      </c>
      <c r="V331" s="63" t="str">
        <f>IFERROR(INDEX(StatusBranchGrade[Rank/Grade], MATCH(ROWS($U$3:U331)-1, StatusBranchGrade[T2], 0)), "") &amp; ""</f>
        <v/>
      </c>
      <c r="W331" s="63"/>
    </row>
    <row r="332" spans="1:23" x14ac:dyDescent="0.25">
      <c r="A332">
        <v>5</v>
      </c>
      <c r="B332" t="s">
        <v>216</v>
      </c>
      <c r="C332" t="s">
        <v>185</v>
      </c>
      <c r="D332" t="s">
        <v>84</v>
      </c>
      <c r="E332" t="str">
        <f>IF(StatusBranchGrade[[#This Row],[Status]] = "CYS", "DoD", StatusBranchGrade[[#This Row],[Rank]] &amp; "")</f>
        <v>O-8</v>
      </c>
      <c r="F332" t="s">
        <v>84</v>
      </c>
      <c r="G332" t="str">
        <f>IF(StatusBranchGrade[[#This Row],[Rank]] = StatusBranchGrade[[#This Row],[Grade]], StatusBranchGrade[[#This Row],[Rank]], StatusBranchGrade[[#This Row],[Grade]] &amp; "/" &amp; StatusBranchGrade[[#This Row],[Rank]]) &amp; ""</f>
        <v>O-8</v>
      </c>
      <c r="H3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O-8</v>
      </c>
      <c r="I332" s="17" t="str">
        <f>SUBSTITUTE(SUBSTITUTE(SUBSTITUTE(StatusBranchGrade[[#This Row],[Status]] &amp; "  /  " &amp; StatusBranchGrade[[#This Row],[Branch]] &amp; ";", "  /  ;", ";"), "  /  ;", ";"), ";", "")</f>
        <v>Active Duty  /  Space Force</v>
      </c>
      <c r="J332">
        <v>12</v>
      </c>
      <c r="K332" s="17" t="str">
        <f>IF(LEFT(StatusBranchGrade[[#This Row],[Which]], 1) = "1", StatusBranchGrade[[#This Row],[Key]], "")</f>
        <v>Active Duty  /  Space Force  /  O-8</v>
      </c>
      <c r="L332" s="17" t="str">
        <f>IF(LEFT(StatusBranchGrade[[#This Row],[Which]], 1) = "1", StatusBranchGrade[[#This Row],[Key0]], "")</f>
        <v>Active Duty  /  Space Force</v>
      </c>
      <c r="M332" s="17" t="str">
        <f>IF(RIGHT(StatusBranchGrade[[#This Row],[Which]], 1) = "2", StatusBranchGrade[[#This Row],[Key]], "")</f>
        <v>Active Duty  /  Space Force  /  O-8</v>
      </c>
      <c r="N332" s="17" t="str">
        <f>IF(RIGHT(StatusBranchGrade[[#This Row],[Which]], 1) = "2", StatusBranchGrade[[#This Row],[Key0]], "")</f>
        <v>Active Duty  /  Space Force</v>
      </c>
      <c r="O332" s="17" t="s">
        <v>296</v>
      </c>
      <c r="P332" s="17"/>
      <c r="Q332" s="63">
        <f>--ISNUMBER(IF(StatusBranchGrade[[#This Row],[Sponsor0]] = 'Calculation Worksheet'!$AV$6 &amp; "  /  " &amp; 'Calculation Worksheet'!$AV$7, 1, ""))</f>
        <v>0</v>
      </c>
      <c r="R332" s="63" t="str">
        <f>IF(StatusBranchGrade[[#This Row],[S1]] = 1, COUNTIF($Q$3:Q332, 1), "")</f>
        <v/>
      </c>
      <c r="S332" s="63" t="str">
        <f>IFERROR(INDEX(StatusBranchGrade[Rank/Grade], MATCH(ROWS($R$3:R332)-1, StatusBranchGrade[S2], 0)), "") &amp; ""</f>
        <v/>
      </c>
      <c r="T332" s="63">
        <f>--ISNUMBER(IF(StatusBranchGrade[[#This Row],[Spouse0]] = 'Calculation Worksheet'!$CG$6 &amp; "  /  " &amp; 'Calculation Worksheet'!$CG$7, 1, ""))</f>
        <v>0</v>
      </c>
      <c r="U332" s="63" t="str">
        <f>IF(StatusBranchGrade[[#This Row],[T1]] = 1, COUNTIF($T$3:T332, 1), "")</f>
        <v/>
      </c>
      <c r="V332" s="63" t="str">
        <f>IFERROR(INDEX(StatusBranchGrade[Rank/Grade], MATCH(ROWS($U$3:U332)-1, StatusBranchGrade[T2], 0)), "") &amp; ""</f>
        <v/>
      </c>
      <c r="W332" s="63"/>
    </row>
    <row r="333" spans="1:23" x14ac:dyDescent="0.25">
      <c r="A333">
        <v>5</v>
      </c>
      <c r="B333" t="s">
        <v>216</v>
      </c>
      <c r="C333" t="s">
        <v>185</v>
      </c>
      <c r="D333" t="s">
        <v>83</v>
      </c>
      <c r="E333" t="str">
        <f>IF(StatusBranchGrade[[#This Row],[Status]] = "CYS", "DoD", StatusBranchGrade[[#This Row],[Rank]] &amp; "")</f>
        <v>O-9</v>
      </c>
      <c r="F333" t="s">
        <v>83</v>
      </c>
      <c r="G333" t="str">
        <f>IF(StatusBranchGrade[[#This Row],[Rank]] = StatusBranchGrade[[#This Row],[Grade]], StatusBranchGrade[[#This Row],[Rank]], StatusBranchGrade[[#This Row],[Grade]] &amp; "/" &amp; StatusBranchGrade[[#This Row],[Rank]]) &amp; ""</f>
        <v>O-9</v>
      </c>
      <c r="H3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O-9</v>
      </c>
      <c r="I333" s="17" t="str">
        <f>SUBSTITUTE(SUBSTITUTE(SUBSTITUTE(StatusBranchGrade[[#This Row],[Status]] &amp; "  /  " &amp; StatusBranchGrade[[#This Row],[Branch]] &amp; ";", "  /  ;", ";"), "  /  ;", ";"), ";", "")</f>
        <v>Active Duty  /  Space Force</v>
      </c>
      <c r="J333">
        <v>12</v>
      </c>
      <c r="K333" s="17" t="str">
        <f>IF(LEFT(StatusBranchGrade[[#This Row],[Which]], 1) = "1", StatusBranchGrade[[#This Row],[Key]], "")</f>
        <v>Active Duty  /  Space Force  /  O-9</v>
      </c>
      <c r="L333" s="17" t="str">
        <f>IF(LEFT(StatusBranchGrade[[#This Row],[Which]], 1) = "1", StatusBranchGrade[[#This Row],[Key0]], "")</f>
        <v>Active Duty  /  Space Force</v>
      </c>
      <c r="M333" s="17" t="str">
        <f>IF(RIGHT(StatusBranchGrade[[#This Row],[Which]], 1) = "2", StatusBranchGrade[[#This Row],[Key]], "")</f>
        <v>Active Duty  /  Space Force  /  O-9</v>
      </c>
      <c r="N333" s="17" t="str">
        <f>IF(RIGHT(StatusBranchGrade[[#This Row],[Which]], 1) = "2", StatusBranchGrade[[#This Row],[Key0]], "")</f>
        <v>Active Duty  /  Space Force</v>
      </c>
      <c r="O333" s="17" t="s">
        <v>296</v>
      </c>
      <c r="P333" s="17"/>
      <c r="Q333" s="63">
        <f>--ISNUMBER(IF(StatusBranchGrade[[#This Row],[Sponsor0]] = 'Calculation Worksheet'!$AV$6 &amp; "  /  " &amp; 'Calculation Worksheet'!$AV$7, 1, ""))</f>
        <v>0</v>
      </c>
      <c r="R333" s="63" t="str">
        <f>IF(StatusBranchGrade[[#This Row],[S1]] = 1, COUNTIF($Q$3:Q333, 1), "")</f>
        <v/>
      </c>
      <c r="S333" s="63" t="str">
        <f>IFERROR(INDEX(StatusBranchGrade[Rank/Grade], MATCH(ROWS($R$3:R333)-1, StatusBranchGrade[S2], 0)), "") &amp; ""</f>
        <v/>
      </c>
      <c r="T333" s="63">
        <f>--ISNUMBER(IF(StatusBranchGrade[[#This Row],[Spouse0]] = 'Calculation Worksheet'!$CG$6 &amp; "  /  " &amp; 'Calculation Worksheet'!$CG$7, 1, ""))</f>
        <v>0</v>
      </c>
      <c r="U333" s="63" t="str">
        <f>IF(StatusBranchGrade[[#This Row],[T1]] = 1, COUNTIF($T$3:T333, 1), "")</f>
        <v/>
      </c>
      <c r="V333" s="63" t="str">
        <f>IFERROR(INDEX(StatusBranchGrade[Rank/Grade], MATCH(ROWS($U$3:U333)-1, StatusBranchGrade[T2], 0)), "") &amp; ""</f>
        <v/>
      </c>
      <c r="W333" s="63"/>
    </row>
    <row r="334" spans="1:23" x14ac:dyDescent="0.25">
      <c r="A334">
        <v>5</v>
      </c>
      <c r="B334" t="s">
        <v>216</v>
      </c>
      <c r="C334" t="s">
        <v>185</v>
      </c>
      <c r="D334" t="s">
        <v>96</v>
      </c>
      <c r="E334" t="str">
        <f>IF(StatusBranchGrade[[#This Row],[Status]] = "CYS", "DoD", StatusBranchGrade[[#This Row],[Rank]] &amp; "")</f>
        <v>W-1</v>
      </c>
      <c r="F334" t="s">
        <v>96</v>
      </c>
      <c r="G334" t="str">
        <f>IF(StatusBranchGrade[[#This Row],[Rank]] = StatusBranchGrade[[#This Row],[Grade]], StatusBranchGrade[[#This Row],[Rank]], StatusBranchGrade[[#This Row],[Grade]] &amp; "/" &amp; StatusBranchGrade[[#This Row],[Rank]]) &amp; ""</f>
        <v>W-1</v>
      </c>
      <c r="H3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W-1</v>
      </c>
      <c r="I334" s="17" t="str">
        <f>SUBSTITUTE(SUBSTITUTE(SUBSTITUTE(StatusBranchGrade[[#This Row],[Status]] &amp; "  /  " &amp; StatusBranchGrade[[#This Row],[Branch]] &amp; ";", "  /  ;", ";"), "  /  ;", ";"), ";", "")</f>
        <v>Active Duty  /  Space Force</v>
      </c>
      <c r="J334">
        <v>12</v>
      </c>
      <c r="K334" s="17" t="str">
        <f>IF(LEFT(StatusBranchGrade[[#This Row],[Which]], 1) = "1", StatusBranchGrade[[#This Row],[Key]], "")</f>
        <v>Active Duty  /  Space Force  /  W-1</v>
      </c>
      <c r="L334" s="17" t="str">
        <f>IF(LEFT(StatusBranchGrade[[#This Row],[Which]], 1) = "1", StatusBranchGrade[[#This Row],[Key0]], "")</f>
        <v>Active Duty  /  Space Force</v>
      </c>
      <c r="M334" s="17" t="str">
        <f>IF(RIGHT(StatusBranchGrade[[#This Row],[Which]], 1) = "2", StatusBranchGrade[[#This Row],[Key]], "")</f>
        <v>Active Duty  /  Space Force  /  W-1</v>
      </c>
      <c r="N334" s="17" t="str">
        <f>IF(RIGHT(StatusBranchGrade[[#This Row],[Which]], 1) = "2", StatusBranchGrade[[#This Row],[Key0]], "")</f>
        <v>Active Duty  /  Space Force</v>
      </c>
      <c r="O334" s="17" t="s">
        <v>296</v>
      </c>
      <c r="P334" s="17"/>
      <c r="Q334" s="63">
        <f>--ISNUMBER(IF(StatusBranchGrade[[#This Row],[Sponsor0]] = 'Calculation Worksheet'!$AV$6 &amp; "  /  " &amp; 'Calculation Worksheet'!$AV$7, 1, ""))</f>
        <v>0</v>
      </c>
      <c r="R334" s="63" t="str">
        <f>IF(StatusBranchGrade[[#This Row],[S1]] = 1, COUNTIF($Q$3:Q334, 1), "")</f>
        <v/>
      </c>
      <c r="S334" s="63" t="str">
        <f>IFERROR(INDEX(StatusBranchGrade[Rank/Grade], MATCH(ROWS($R$3:R334)-1, StatusBranchGrade[S2], 0)), "") &amp; ""</f>
        <v/>
      </c>
      <c r="T334" s="63">
        <f>--ISNUMBER(IF(StatusBranchGrade[[#This Row],[Spouse0]] = 'Calculation Worksheet'!$CG$6 &amp; "  /  " &amp; 'Calculation Worksheet'!$CG$7, 1, ""))</f>
        <v>0</v>
      </c>
      <c r="U334" s="63" t="str">
        <f>IF(StatusBranchGrade[[#This Row],[T1]] = 1, COUNTIF($T$3:T334, 1), "")</f>
        <v/>
      </c>
      <c r="V334" s="63" t="str">
        <f>IFERROR(INDEX(StatusBranchGrade[Rank/Grade], MATCH(ROWS($U$3:U334)-1, StatusBranchGrade[T2], 0)), "") &amp; ""</f>
        <v/>
      </c>
      <c r="W334" s="63"/>
    </row>
    <row r="335" spans="1:23" x14ac:dyDescent="0.25">
      <c r="A335">
        <v>5</v>
      </c>
      <c r="B335" t="s">
        <v>216</v>
      </c>
      <c r="C335" t="s">
        <v>185</v>
      </c>
      <c r="D335" t="s">
        <v>95</v>
      </c>
      <c r="E335" t="str">
        <f>IF(StatusBranchGrade[[#This Row],[Status]] = "CYS", "DoD", StatusBranchGrade[[#This Row],[Rank]] &amp; "")</f>
        <v>W-2</v>
      </c>
      <c r="F335" t="s">
        <v>95</v>
      </c>
      <c r="G335" t="str">
        <f>IF(StatusBranchGrade[[#This Row],[Rank]] = StatusBranchGrade[[#This Row],[Grade]], StatusBranchGrade[[#This Row],[Rank]], StatusBranchGrade[[#This Row],[Grade]] &amp; "/" &amp; StatusBranchGrade[[#This Row],[Rank]]) &amp; ""</f>
        <v>W-2</v>
      </c>
      <c r="H3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W-2</v>
      </c>
      <c r="I335" s="17" t="str">
        <f>SUBSTITUTE(SUBSTITUTE(SUBSTITUTE(StatusBranchGrade[[#This Row],[Status]] &amp; "  /  " &amp; StatusBranchGrade[[#This Row],[Branch]] &amp; ";", "  /  ;", ";"), "  /  ;", ";"), ";", "")</f>
        <v>Active Duty  /  Space Force</v>
      </c>
      <c r="J335">
        <v>12</v>
      </c>
      <c r="K335" s="17" t="str">
        <f>IF(LEFT(StatusBranchGrade[[#This Row],[Which]], 1) = "1", StatusBranchGrade[[#This Row],[Key]], "")</f>
        <v>Active Duty  /  Space Force  /  W-2</v>
      </c>
      <c r="L335" s="17" t="str">
        <f>IF(LEFT(StatusBranchGrade[[#This Row],[Which]], 1) = "1", StatusBranchGrade[[#This Row],[Key0]], "")</f>
        <v>Active Duty  /  Space Force</v>
      </c>
      <c r="M335" s="17" t="str">
        <f>IF(RIGHT(StatusBranchGrade[[#This Row],[Which]], 1) = "2", StatusBranchGrade[[#This Row],[Key]], "")</f>
        <v>Active Duty  /  Space Force  /  W-2</v>
      </c>
      <c r="N335" s="17" t="str">
        <f>IF(RIGHT(StatusBranchGrade[[#This Row],[Which]], 1) = "2", StatusBranchGrade[[#This Row],[Key0]], "")</f>
        <v>Active Duty  /  Space Force</v>
      </c>
      <c r="O335" s="17" t="s">
        <v>296</v>
      </c>
      <c r="P335" s="17"/>
      <c r="Q335" s="63">
        <f>--ISNUMBER(IF(StatusBranchGrade[[#This Row],[Sponsor0]] = 'Calculation Worksheet'!$AV$6 &amp; "  /  " &amp; 'Calculation Worksheet'!$AV$7, 1, ""))</f>
        <v>0</v>
      </c>
      <c r="R335" s="63" t="str">
        <f>IF(StatusBranchGrade[[#This Row],[S1]] = 1, COUNTIF($Q$3:Q335, 1), "")</f>
        <v/>
      </c>
      <c r="S335" s="63" t="str">
        <f>IFERROR(INDEX(StatusBranchGrade[Rank/Grade], MATCH(ROWS($R$3:R335)-1, StatusBranchGrade[S2], 0)), "") &amp; ""</f>
        <v/>
      </c>
      <c r="T335" s="63">
        <f>--ISNUMBER(IF(StatusBranchGrade[[#This Row],[Spouse0]] = 'Calculation Worksheet'!$CG$6 &amp; "  /  " &amp; 'Calculation Worksheet'!$CG$7, 1, ""))</f>
        <v>0</v>
      </c>
      <c r="U335" s="63" t="str">
        <f>IF(StatusBranchGrade[[#This Row],[T1]] = 1, COUNTIF($T$3:T335, 1), "")</f>
        <v/>
      </c>
      <c r="V335" s="63" t="str">
        <f>IFERROR(INDEX(StatusBranchGrade[Rank/Grade], MATCH(ROWS($U$3:U335)-1, StatusBranchGrade[T2], 0)), "") &amp; ""</f>
        <v/>
      </c>
      <c r="W335" s="63"/>
    </row>
    <row r="336" spans="1:23" x14ac:dyDescent="0.25">
      <c r="A336">
        <v>5</v>
      </c>
      <c r="B336" t="s">
        <v>216</v>
      </c>
      <c r="C336" t="s">
        <v>185</v>
      </c>
      <c r="D336" t="s">
        <v>94</v>
      </c>
      <c r="E336" t="str">
        <f>IF(StatusBranchGrade[[#This Row],[Status]] = "CYS", "DoD", StatusBranchGrade[[#This Row],[Rank]] &amp; "")</f>
        <v>W-3</v>
      </c>
      <c r="F336" t="s">
        <v>94</v>
      </c>
      <c r="G336" t="str">
        <f>IF(StatusBranchGrade[[#This Row],[Rank]] = StatusBranchGrade[[#This Row],[Grade]], StatusBranchGrade[[#This Row],[Rank]], StatusBranchGrade[[#This Row],[Grade]] &amp; "/" &amp; StatusBranchGrade[[#This Row],[Rank]]) &amp; ""</f>
        <v>W-3</v>
      </c>
      <c r="H3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W-3</v>
      </c>
      <c r="I336" s="17" t="str">
        <f>SUBSTITUTE(SUBSTITUTE(SUBSTITUTE(StatusBranchGrade[[#This Row],[Status]] &amp; "  /  " &amp; StatusBranchGrade[[#This Row],[Branch]] &amp; ";", "  /  ;", ";"), "  /  ;", ";"), ";", "")</f>
        <v>Active Duty  /  Space Force</v>
      </c>
      <c r="J336">
        <v>12</v>
      </c>
      <c r="K336" s="17" t="str">
        <f>IF(LEFT(StatusBranchGrade[[#This Row],[Which]], 1) = "1", StatusBranchGrade[[#This Row],[Key]], "")</f>
        <v>Active Duty  /  Space Force  /  W-3</v>
      </c>
      <c r="L336" s="17" t="str">
        <f>IF(LEFT(StatusBranchGrade[[#This Row],[Which]], 1) = "1", StatusBranchGrade[[#This Row],[Key0]], "")</f>
        <v>Active Duty  /  Space Force</v>
      </c>
      <c r="M336" s="17" t="str">
        <f>IF(RIGHT(StatusBranchGrade[[#This Row],[Which]], 1) = "2", StatusBranchGrade[[#This Row],[Key]], "")</f>
        <v>Active Duty  /  Space Force  /  W-3</v>
      </c>
      <c r="N336" s="17" t="str">
        <f>IF(RIGHT(StatusBranchGrade[[#This Row],[Which]], 1) = "2", StatusBranchGrade[[#This Row],[Key0]], "")</f>
        <v>Active Duty  /  Space Force</v>
      </c>
      <c r="O336" s="17" t="s">
        <v>296</v>
      </c>
      <c r="P336" s="17"/>
      <c r="Q336" s="63">
        <f>--ISNUMBER(IF(StatusBranchGrade[[#This Row],[Sponsor0]] = 'Calculation Worksheet'!$AV$6 &amp; "  /  " &amp; 'Calculation Worksheet'!$AV$7, 1, ""))</f>
        <v>0</v>
      </c>
      <c r="R336" s="63" t="str">
        <f>IF(StatusBranchGrade[[#This Row],[S1]] = 1, COUNTIF($Q$3:Q336, 1), "")</f>
        <v/>
      </c>
      <c r="S336" s="63" t="str">
        <f>IFERROR(INDEX(StatusBranchGrade[Rank/Grade], MATCH(ROWS($R$3:R336)-1, StatusBranchGrade[S2], 0)), "") &amp; ""</f>
        <v/>
      </c>
      <c r="T336" s="63">
        <f>--ISNUMBER(IF(StatusBranchGrade[[#This Row],[Spouse0]] = 'Calculation Worksheet'!$CG$6 &amp; "  /  " &amp; 'Calculation Worksheet'!$CG$7, 1, ""))</f>
        <v>0</v>
      </c>
      <c r="U336" s="63" t="str">
        <f>IF(StatusBranchGrade[[#This Row],[T1]] = 1, COUNTIF($T$3:T336, 1), "")</f>
        <v/>
      </c>
      <c r="V336" s="63" t="str">
        <f>IFERROR(INDEX(StatusBranchGrade[Rank/Grade], MATCH(ROWS($U$3:U336)-1, StatusBranchGrade[T2], 0)), "") &amp; ""</f>
        <v/>
      </c>
      <c r="W336" s="63"/>
    </row>
    <row r="337" spans="1:23" x14ac:dyDescent="0.25">
      <c r="A337">
        <v>5</v>
      </c>
      <c r="B337" t="s">
        <v>216</v>
      </c>
      <c r="C337" t="s">
        <v>185</v>
      </c>
      <c r="D337" t="s">
        <v>93</v>
      </c>
      <c r="E337" t="str">
        <f>IF(StatusBranchGrade[[#This Row],[Status]] = "CYS", "DoD", StatusBranchGrade[[#This Row],[Rank]] &amp; "")</f>
        <v>W-4</v>
      </c>
      <c r="F337" t="s">
        <v>93</v>
      </c>
      <c r="G337" t="str">
        <f>IF(StatusBranchGrade[[#This Row],[Rank]] = StatusBranchGrade[[#This Row],[Grade]], StatusBranchGrade[[#This Row],[Rank]], StatusBranchGrade[[#This Row],[Grade]] &amp; "/" &amp; StatusBranchGrade[[#This Row],[Rank]]) &amp; ""</f>
        <v>W-4</v>
      </c>
      <c r="H3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Active Duty  /  Space Force  /  W-4</v>
      </c>
      <c r="I337" s="17" t="str">
        <f>SUBSTITUTE(SUBSTITUTE(SUBSTITUTE(StatusBranchGrade[[#This Row],[Status]] &amp; "  /  " &amp; StatusBranchGrade[[#This Row],[Branch]] &amp; ";", "  /  ;", ";"), "  /  ;", ";"), ";", "")</f>
        <v>Active Duty  /  Space Force</v>
      </c>
      <c r="J337">
        <v>12</v>
      </c>
      <c r="K337" s="17" t="str">
        <f>IF(LEFT(StatusBranchGrade[[#This Row],[Which]], 1) = "1", StatusBranchGrade[[#This Row],[Key]], "")</f>
        <v>Active Duty  /  Space Force  /  W-4</v>
      </c>
      <c r="L337" s="17" t="str">
        <f>IF(LEFT(StatusBranchGrade[[#This Row],[Which]], 1) = "1", StatusBranchGrade[[#This Row],[Key0]], "")</f>
        <v>Active Duty  /  Space Force</v>
      </c>
      <c r="M337" s="17" t="str">
        <f>IF(RIGHT(StatusBranchGrade[[#This Row],[Which]], 1) = "2", StatusBranchGrade[[#This Row],[Key]], "")</f>
        <v>Active Duty  /  Space Force  /  W-4</v>
      </c>
      <c r="N337" s="17" t="str">
        <f>IF(RIGHT(StatusBranchGrade[[#This Row],[Which]], 1) = "2", StatusBranchGrade[[#This Row],[Key0]], "")</f>
        <v>Active Duty  /  Space Force</v>
      </c>
      <c r="O337" s="17" t="s">
        <v>296</v>
      </c>
      <c r="P337" s="17"/>
      <c r="Q337" s="63">
        <f>--ISNUMBER(IF(StatusBranchGrade[[#This Row],[Sponsor0]] = 'Calculation Worksheet'!$AV$6 &amp; "  /  " &amp; 'Calculation Worksheet'!$AV$7, 1, ""))</f>
        <v>0</v>
      </c>
      <c r="R337" s="63" t="str">
        <f>IF(StatusBranchGrade[[#This Row],[S1]] = 1, COUNTIF($Q$3:Q337, 1), "")</f>
        <v/>
      </c>
      <c r="S337" s="63" t="str">
        <f>IFERROR(INDEX(StatusBranchGrade[Rank/Grade], MATCH(ROWS($R$3:R337)-1, StatusBranchGrade[S2], 0)), "") &amp; ""</f>
        <v/>
      </c>
      <c r="T337" s="63">
        <f>--ISNUMBER(IF(StatusBranchGrade[[#This Row],[Spouse0]] = 'Calculation Worksheet'!$CG$6 &amp; "  /  " &amp; 'Calculation Worksheet'!$CG$7, 1, ""))</f>
        <v>0</v>
      </c>
      <c r="U337" s="63" t="str">
        <f>IF(StatusBranchGrade[[#This Row],[T1]] = 1, COUNTIF($T$3:T337, 1), "")</f>
        <v/>
      </c>
      <c r="V337" s="63" t="str">
        <f>IFERROR(INDEX(StatusBranchGrade[Rank/Grade], MATCH(ROWS($U$3:U337)-1, StatusBranchGrade[T2], 0)), "") &amp; ""</f>
        <v/>
      </c>
      <c r="W337" s="63" t="s">
        <v>230</v>
      </c>
    </row>
    <row r="338" spans="1:23" x14ac:dyDescent="0.25">
      <c r="A338">
        <v>6</v>
      </c>
      <c r="B338" t="s">
        <v>390</v>
      </c>
      <c r="C338" t="s">
        <v>183</v>
      </c>
      <c r="D338" t="s">
        <v>105</v>
      </c>
      <c r="E338" t="str">
        <f>IF(StatusBranchGrade[[#This Row],[Status]] = "CYS", "DoD", StatusBranchGrade[[#This Row],[Rank]] &amp; "")</f>
        <v>E-1</v>
      </c>
      <c r="F338" t="s">
        <v>105</v>
      </c>
      <c r="G338" t="str">
        <f>IF(StatusBranchGrade[[#This Row],[Rank]] = StatusBranchGrade[[#This Row],[Grade]], StatusBranchGrade[[#This Row],[Rank]], StatusBranchGrade[[#This Row],[Grade]] &amp; "/" &amp; StatusBranchGrade[[#This Row],[Rank]]) &amp; ""</f>
        <v>E-1</v>
      </c>
      <c r="H3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E-1</v>
      </c>
      <c r="I338" s="17" t="str">
        <f>SUBSTITUTE(SUBSTITUTE(SUBSTITUTE(StatusBranchGrade[[#This Row],[Status]] &amp; "  /  " &amp; StatusBranchGrade[[#This Row],[Branch]] &amp; ";", "  /  ;", ";"), "  /  ;", ";"), ";", "")</f>
        <v>Full-time Nat'l Guard  /  Air Force</v>
      </c>
      <c r="J338">
        <v>12</v>
      </c>
      <c r="K338" s="17" t="str">
        <f>IF(LEFT(StatusBranchGrade[[#This Row],[Which]], 1) = "1", StatusBranchGrade[[#This Row],[Key]], "")</f>
        <v>Full-time Nat'l Guard  /  Air Force  /  E-1</v>
      </c>
      <c r="L338" s="17" t="str">
        <f>IF(LEFT(StatusBranchGrade[[#This Row],[Which]], 1) = "1", StatusBranchGrade[[#This Row],[Key0]], "")</f>
        <v>Full-time Nat'l Guard  /  Air Force</v>
      </c>
      <c r="M338" s="17" t="str">
        <f>IF(RIGHT(StatusBranchGrade[[#This Row],[Which]], 1) = "2", StatusBranchGrade[[#This Row],[Key]], "")</f>
        <v>Full-time Nat'l Guard  /  Air Force  /  E-1</v>
      </c>
      <c r="N338" s="17" t="str">
        <f>IF(RIGHT(StatusBranchGrade[[#This Row],[Which]], 1) = "2", StatusBranchGrade[[#This Row],[Key0]], "")</f>
        <v>Full-time Nat'l Guard  /  Air Force</v>
      </c>
      <c r="O338" s="17" t="s">
        <v>301</v>
      </c>
      <c r="P338" s="17"/>
      <c r="Q338" s="63">
        <f>--ISNUMBER(IF(StatusBranchGrade[[#This Row],[Sponsor0]] = 'Calculation Worksheet'!$AV$6 &amp; "  /  " &amp; 'Calculation Worksheet'!$AV$7, 1, ""))</f>
        <v>0</v>
      </c>
      <c r="R338" s="63" t="str">
        <f>IF(StatusBranchGrade[[#This Row],[S1]] = 1, COUNTIF($Q$3:Q338, 1), "")</f>
        <v/>
      </c>
      <c r="S338" s="63" t="str">
        <f>IFERROR(INDEX(StatusBranchGrade[Rank/Grade], MATCH(ROWS($R$3:R338)-1, StatusBranchGrade[S2], 0)), "") &amp; ""</f>
        <v/>
      </c>
      <c r="T338" s="63">
        <f>--ISNUMBER(IF(StatusBranchGrade[[#This Row],[Spouse0]] = 'Calculation Worksheet'!$CG$6 &amp; "  /  " &amp; 'Calculation Worksheet'!$CG$7, 1, ""))</f>
        <v>0</v>
      </c>
      <c r="U338" s="63" t="str">
        <f>IF(StatusBranchGrade[[#This Row],[T1]] = 1, COUNTIF($T$3:T338, 1), "")</f>
        <v/>
      </c>
      <c r="V338" s="63" t="str">
        <f>IFERROR(INDEX(StatusBranchGrade[Rank/Grade], MATCH(ROWS($U$3:U338)-1, StatusBranchGrade[T2], 0)), "") &amp; ""</f>
        <v/>
      </c>
      <c r="W338" s="63"/>
    </row>
    <row r="339" spans="1:23" x14ac:dyDescent="0.25">
      <c r="A339">
        <v>6</v>
      </c>
      <c r="B339" t="s">
        <v>390</v>
      </c>
      <c r="C339" t="s">
        <v>183</v>
      </c>
      <c r="D339" t="s">
        <v>104</v>
      </c>
      <c r="E339" t="str">
        <f>IF(StatusBranchGrade[[#This Row],[Status]] = "CYS", "DoD", StatusBranchGrade[[#This Row],[Rank]] &amp; "")</f>
        <v>E-2</v>
      </c>
      <c r="F339" t="s">
        <v>104</v>
      </c>
      <c r="G339" t="str">
        <f>IF(StatusBranchGrade[[#This Row],[Rank]] = StatusBranchGrade[[#This Row],[Grade]], StatusBranchGrade[[#This Row],[Rank]], StatusBranchGrade[[#This Row],[Grade]] &amp; "/" &amp; StatusBranchGrade[[#This Row],[Rank]]) &amp; ""</f>
        <v>E-2</v>
      </c>
      <c r="H3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E-2</v>
      </c>
      <c r="I339" s="17" t="str">
        <f>SUBSTITUTE(SUBSTITUTE(SUBSTITUTE(StatusBranchGrade[[#This Row],[Status]] &amp; "  /  " &amp; StatusBranchGrade[[#This Row],[Branch]] &amp; ";", "  /  ;", ";"), "  /  ;", ";"), ";", "")</f>
        <v>Full-time Nat'l Guard  /  Air Force</v>
      </c>
      <c r="J339">
        <v>12</v>
      </c>
      <c r="K339" s="17" t="str">
        <f>IF(LEFT(StatusBranchGrade[[#This Row],[Which]], 1) = "1", StatusBranchGrade[[#This Row],[Key]], "")</f>
        <v>Full-time Nat'l Guard  /  Air Force  /  E-2</v>
      </c>
      <c r="L339" s="17" t="str">
        <f>IF(LEFT(StatusBranchGrade[[#This Row],[Which]], 1) = "1", StatusBranchGrade[[#This Row],[Key0]], "")</f>
        <v>Full-time Nat'l Guard  /  Air Force</v>
      </c>
      <c r="M339" s="17" t="str">
        <f>IF(RIGHT(StatusBranchGrade[[#This Row],[Which]], 1) = "2", StatusBranchGrade[[#This Row],[Key]], "")</f>
        <v>Full-time Nat'l Guard  /  Air Force  /  E-2</v>
      </c>
      <c r="N339" s="17" t="str">
        <f>IF(RIGHT(StatusBranchGrade[[#This Row],[Which]], 1) = "2", StatusBranchGrade[[#This Row],[Key0]], "")</f>
        <v>Full-time Nat'l Guard  /  Air Force</v>
      </c>
      <c r="O339" s="17" t="s">
        <v>301</v>
      </c>
      <c r="P339" s="17"/>
      <c r="Q339" s="63">
        <f>--ISNUMBER(IF(StatusBranchGrade[[#This Row],[Sponsor0]] = 'Calculation Worksheet'!$AV$6 &amp; "  /  " &amp; 'Calculation Worksheet'!$AV$7, 1, ""))</f>
        <v>0</v>
      </c>
      <c r="R339" s="63" t="str">
        <f>IF(StatusBranchGrade[[#This Row],[S1]] = 1, COUNTIF($Q$3:Q339, 1), "")</f>
        <v/>
      </c>
      <c r="S339" s="63" t="str">
        <f>IFERROR(INDEX(StatusBranchGrade[Rank/Grade], MATCH(ROWS($R$3:R339)-1, StatusBranchGrade[S2], 0)), "") &amp; ""</f>
        <v/>
      </c>
      <c r="T339" s="63">
        <f>--ISNUMBER(IF(StatusBranchGrade[[#This Row],[Spouse0]] = 'Calculation Worksheet'!$CG$6 &amp; "  /  " &amp; 'Calculation Worksheet'!$CG$7, 1, ""))</f>
        <v>0</v>
      </c>
      <c r="U339" s="63" t="str">
        <f>IF(StatusBranchGrade[[#This Row],[T1]] = 1, COUNTIF($T$3:T339, 1), "")</f>
        <v/>
      </c>
      <c r="V339" s="63" t="str">
        <f>IFERROR(INDEX(StatusBranchGrade[Rank/Grade], MATCH(ROWS($U$3:U339)-1, StatusBranchGrade[T2], 0)), "") &amp; ""</f>
        <v/>
      </c>
      <c r="W339" s="63"/>
    </row>
    <row r="340" spans="1:23" x14ac:dyDescent="0.25">
      <c r="A340">
        <v>6</v>
      </c>
      <c r="B340" t="s">
        <v>390</v>
      </c>
      <c r="C340" t="s">
        <v>183</v>
      </c>
      <c r="D340" t="s">
        <v>103</v>
      </c>
      <c r="E340" t="str">
        <f>IF(StatusBranchGrade[[#This Row],[Status]] = "CYS", "DoD", StatusBranchGrade[[#This Row],[Rank]] &amp; "")</f>
        <v>E-3</v>
      </c>
      <c r="F340" t="s">
        <v>103</v>
      </c>
      <c r="G340" t="str">
        <f>IF(StatusBranchGrade[[#This Row],[Rank]] = StatusBranchGrade[[#This Row],[Grade]], StatusBranchGrade[[#This Row],[Rank]], StatusBranchGrade[[#This Row],[Grade]] &amp; "/" &amp; StatusBranchGrade[[#This Row],[Rank]]) &amp; ""</f>
        <v>E-3</v>
      </c>
      <c r="H3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E-3</v>
      </c>
      <c r="I340" s="17" t="str">
        <f>SUBSTITUTE(SUBSTITUTE(SUBSTITUTE(StatusBranchGrade[[#This Row],[Status]] &amp; "  /  " &amp; StatusBranchGrade[[#This Row],[Branch]] &amp; ";", "  /  ;", ";"), "  /  ;", ";"), ";", "")</f>
        <v>Full-time Nat'l Guard  /  Air Force</v>
      </c>
      <c r="J340">
        <v>12</v>
      </c>
      <c r="K340" s="17" t="str">
        <f>IF(LEFT(StatusBranchGrade[[#This Row],[Which]], 1) = "1", StatusBranchGrade[[#This Row],[Key]], "")</f>
        <v>Full-time Nat'l Guard  /  Air Force  /  E-3</v>
      </c>
      <c r="L340" s="17" t="str">
        <f>IF(LEFT(StatusBranchGrade[[#This Row],[Which]], 1) = "1", StatusBranchGrade[[#This Row],[Key0]], "")</f>
        <v>Full-time Nat'l Guard  /  Air Force</v>
      </c>
      <c r="M340" s="17" t="str">
        <f>IF(RIGHT(StatusBranchGrade[[#This Row],[Which]], 1) = "2", StatusBranchGrade[[#This Row],[Key]], "")</f>
        <v>Full-time Nat'l Guard  /  Air Force  /  E-3</v>
      </c>
      <c r="N340" s="17" t="str">
        <f>IF(RIGHT(StatusBranchGrade[[#This Row],[Which]], 1) = "2", StatusBranchGrade[[#This Row],[Key0]], "")</f>
        <v>Full-time Nat'l Guard  /  Air Force</v>
      </c>
      <c r="O340" s="17" t="s">
        <v>301</v>
      </c>
      <c r="P340" s="17"/>
      <c r="Q340" s="63">
        <f>--ISNUMBER(IF(StatusBranchGrade[[#This Row],[Sponsor0]] = 'Calculation Worksheet'!$AV$6 &amp; "  /  " &amp; 'Calculation Worksheet'!$AV$7, 1, ""))</f>
        <v>0</v>
      </c>
      <c r="R340" s="63" t="str">
        <f>IF(StatusBranchGrade[[#This Row],[S1]] = 1, COUNTIF($Q$3:Q340, 1), "")</f>
        <v/>
      </c>
      <c r="S340" s="63" t="str">
        <f>IFERROR(INDEX(StatusBranchGrade[Rank/Grade], MATCH(ROWS($R$3:R340)-1, StatusBranchGrade[S2], 0)), "") &amp; ""</f>
        <v/>
      </c>
      <c r="T340" s="63">
        <f>--ISNUMBER(IF(StatusBranchGrade[[#This Row],[Spouse0]] = 'Calculation Worksheet'!$CG$6 &amp; "  /  " &amp; 'Calculation Worksheet'!$CG$7, 1, ""))</f>
        <v>0</v>
      </c>
      <c r="U340" s="63" t="str">
        <f>IF(StatusBranchGrade[[#This Row],[T1]] = 1, COUNTIF($T$3:T340, 1), "")</f>
        <v/>
      </c>
      <c r="V340" s="63" t="str">
        <f>IFERROR(INDEX(StatusBranchGrade[Rank/Grade], MATCH(ROWS($U$3:U340)-1, StatusBranchGrade[T2], 0)), "") &amp; ""</f>
        <v/>
      </c>
      <c r="W340" s="63"/>
    </row>
    <row r="341" spans="1:23" x14ac:dyDescent="0.25">
      <c r="A341">
        <v>6</v>
      </c>
      <c r="B341" t="s">
        <v>390</v>
      </c>
      <c r="C341" t="s">
        <v>183</v>
      </c>
      <c r="D341" t="s">
        <v>102</v>
      </c>
      <c r="E341" t="str">
        <f>IF(StatusBranchGrade[[#This Row],[Status]] = "CYS", "DoD", StatusBranchGrade[[#This Row],[Rank]] &amp; "")</f>
        <v>E-4</v>
      </c>
      <c r="F341" t="s">
        <v>102</v>
      </c>
      <c r="G341" t="str">
        <f>IF(StatusBranchGrade[[#This Row],[Rank]] = StatusBranchGrade[[#This Row],[Grade]], StatusBranchGrade[[#This Row],[Rank]], StatusBranchGrade[[#This Row],[Grade]] &amp; "/" &amp; StatusBranchGrade[[#This Row],[Rank]]) &amp; ""</f>
        <v>E-4</v>
      </c>
      <c r="H3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E-4</v>
      </c>
      <c r="I341" s="17" t="str">
        <f>SUBSTITUTE(SUBSTITUTE(SUBSTITUTE(StatusBranchGrade[[#This Row],[Status]] &amp; "  /  " &amp; StatusBranchGrade[[#This Row],[Branch]] &amp; ";", "  /  ;", ";"), "  /  ;", ";"), ";", "")</f>
        <v>Full-time Nat'l Guard  /  Air Force</v>
      </c>
      <c r="J341">
        <v>12</v>
      </c>
      <c r="K341" s="17" t="str">
        <f>IF(LEFT(StatusBranchGrade[[#This Row],[Which]], 1) = "1", StatusBranchGrade[[#This Row],[Key]], "")</f>
        <v>Full-time Nat'l Guard  /  Air Force  /  E-4</v>
      </c>
      <c r="L341" s="17" t="str">
        <f>IF(LEFT(StatusBranchGrade[[#This Row],[Which]], 1) = "1", StatusBranchGrade[[#This Row],[Key0]], "")</f>
        <v>Full-time Nat'l Guard  /  Air Force</v>
      </c>
      <c r="M341" s="17" t="str">
        <f>IF(RIGHT(StatusBranchGrade[[#This Row],[Which]], 1) = "2", StatusBranchGrade[[#This Row],[Key]], "")</f>
        <v>Full-time Nat'l Guard  /  Air Force  /  E-4</v>
      </c>
      <c r="N341" s="17" t="str">
        <f>IF(RIGHT(StatusBranchGrade[[#This Row],[Which]], 1) = "2", StatusBranchGrade[[#This Row],[Key0]], "")</f>
        <v>Full-time Nat'l Guard  /  Air Force</v>
      </c>
      <c r="O341" s="17" t="s">
        <v>301</v>
      </c>
      <c r="P341" s="17"/>
      <c r="Q341" s="63">
        <f>--ISNUMBER(IF(StatusBranchGrade[[#This Row],[Sponsor0]] = 'Calculation Worksheet'!$AV$6 &amp; "  /  " &amp; 'Calculation Worksheet'!$AV$7, 1, ""))</f>
        <v>0</v>
      </c>
      <c r="R341" s="63" t="str">
        <f>IF(StatusBranchGrade[[#This Row],[S1]] = 1, COUNTIF($Q$3:Q341, 1), "")</f>
        <v/>
      </c>
      <c r="S341" s="63" t="str">
        <f>IFERROR(INDEX(StatusBranchGrade[Rank/Grade], MATCH(ROWS($R$3:R341)-1, StatusBranchGrade[S2], 0)), "") &amp; ""</f>
        <v/>
      </c>
      <c r="T341" s="63">
        <f>--ISNUMBER(IF(StatusBranchGrade[[#This Row],[Spouse0]] = 'Calculation Worksheet'!$CG$6 &amp; "  /  " &amp; 'Calculation Worksheet'!$CG$7, 1, ""))</f>
        <v>0</v>
      </c>
      <c r="U341" s="63" t="str">
        <f>IF(StatusBranchGrade[[#This Row],[T1]] = 1, COUNTIF($T$3:T341, 1), "")</f>
        <v/>
      </c>
      <c r="V341" s="63" t="str">
        <f>IFERROR(INDEX(StatusBranchGrade[Rank/Grade], MATCH(ROWS($U$3:U341)-1, StatusBranchGrade[T2], 0)), "") &amp; ""</f>
        <v/>
      </c>
      <c r="W341" s="63"/>
    </row>
    <row r="342" spans="1:23" x14ac:dyDescent="0.25">
      <c r="A342">
        <v>6</v>
      </c>
      <c r="B342" t="s">
        <v>390</v>
      </c>
      <c r="C342" t="s">
        <v>183</v>
      </c>
      <c r="D342" t="s">
        <v>101</v>
      </c>
      <c r="E342" t="str">
        <f>IF(StatusBranchGrade[[#This Row],[Status]] = "CYS", "DoD", StatusBranchGrade[[#This Row],[Rank]] &amp; "")</f>
        <v>E-5</v>
      </c>
      <c r="F342" t="s">
        <v>101</v>
      </c>
      <c r="G342" t="str">
        <f>IF(StatusBranchGrade[[#This Row],[Rank]] = StatusBranchGrade[[#This Row],[Grade]], StatusBranchGrade[[#This Row],[Rank]], StatusBranchGrade[[#This Row],[Grade]] &amp; "/" &amp; StatusBranchGrade[[#This Row],[Rank]]) &amp; ""</f>
        <v>E-5</v>
      </c>
      <c r="H3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E-5</v>
      </c>
      <c r="I342" s="17" t="str">
        <f>SUBSTITUTE(SUBSTITUTE(SUBSTITUTE(StatusBranchGrade[[#This Row],[Status]] &amp; "  /  " &amp; StatusBranchGrade[[#This Row],[Branch]] &amp; ";", "  /  ;", ";"), "  /  ;", ";"), ";", "")</f>
        <v>Full-time Nat'l Guard  /  Air Force</v>
      </c>
      <c r="J342">
        <v>12</v>
      </c>
      <c r="K342" s="17" t="str">
        <f>IF(LEFT(StatusBranchGrade[[#This Row],[Which]], 1) = "1", StatusBranchGrade[[#This Row],[Key]], "")</f>
        <v>Full-time Nat'l Guard  /  Air Force  /  E-5</v>
      </c>
      <c r="L342" s="17" t="str">
        <f>IF(LEFT(StatusBranchGrade[[#This Row],[Which]], 1) = "1", StatusBranchGrade[[#This Row],[Key0]], "")</f>
        <v>Full-time Nat'l Guard  /  Air Force</v>
      </c>
      <c r="M342" s="17" t="str">
        <f>IF(RIGHT(StatusBranchGrade[[#This Row],[Which]], 1) = "2", StatusBranchGrade[[#This Row],[Key]], "")</f>
        <v>Full-time Nat'l Guard  /  Air Force  /  E-5</v>
      </c>
      <c r="N342" s="17" t="str">
        <f>IF(RIGHT(StatusBranchGrade[[#This Row],[Which]], 1) = "2", StatusBranchGrade[[#This Row],[Key0]], "")</f>
        <v>Full-time Nat'l Guard  /  Air Force</v>
      </c>
      <c r="O342" s="17" t="s">
        <v>301</v>
      </c>
      <c r="P342" s="17"/>
      <c r="Q342" s="63">
        <f>--ISNUMBER(IF(StatusBranchGrade[[#This Row],[Sponsor0]] = 'Calculation Worksheet'!$AV$6 &amp; "  /  " &amp; 'Calculation Worksheet'!$AV$7, 1, ""))</f>
        <v>0</v>
      </c>
      <c r="R342" s="63" t="str">
        <f>IF(StatusBranchGrade[[#This Row],[S1]] = 1, COUNTIF($Q$3:Q342, 1), "")</f>
        <v/>
      </c>
      <c r="S342" s="63" t="str">
        <f>IFERROR(INDEX(StatusBranchGrade[Rank/Grade], MATCH(ROWS($R$3:R342)-1, StatusBranchGrade[S2], 0)), "") &amp; ""</f>
        <v/>
      </c>
      <c r="T342" s="63">
        <f>--ISNUMBER(IF(StatusBranchGrade[[#This Row],[Spouse0]] = 'Calculation Worksheet'!$CG$6 &amp; "  /  " &amp; 'Calculation Worksheet'!$CG$7, 1, ""))</f>
        <v>0</v>
      </c>
      <c r="U342" s="63" t="str">
        <f>IF(StatusBranchGrade[[#This Row],[T1]] = 1, COUNTIF($T$3:T342, 1), "")</f>
        <v/>
      </c>
      <c r="V342" s="63" t="str">
        <f>IFERROR(INDEX(StatusBranchGrade[Rank/Grade], MATCH(ROWS($U$3:U342)-1, StatusBranchGrade[T2], 0)), "") &amp; ""</f>
        <v/>
      </c>
      <c r="W342" s="63"/>
    </row>
    <row r="343" spans="1:23" x14ac:dyDescent="0.25">
      <c r="A343">
        <v>6</v>
      </c>
      <c r="B343" t="s">
        <v>390</v>
      </c>
      <c r="C343" t="s">
        <v>183</v>
      </c>
      <c r="D343" t="s">
        <v>100</v>
      </c>
      <c r="E343" t="str">
        <f>IF(StatusBranchGrade[[#This Row],[Status]] = "CYS", "DoD", StatusBranchGrade[[#This Row],[Rank]] &amp; "")</f>
        <v>E-6</v>
      </c>
      <c r="F343" t="s">
        <v>100</v>
      </c>
      <c r="G343" t="str">
        <f>IF(StatusBranchGrade[[#This Row],[Rank]] = StatusBranchGrade[[#This Row],[Grade]], StatusBranchGrade[[#This Row],[Rank]], StatusBranchGrade[[#This Row],[Grade]] &amp; "/" &amp; StatusBranchGrade[[#This Row],[Rank]]) &amp; ""</f>
        <v>E-6</v>
      </c>
      <c r="H3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E-6</v>
      </c>
      <c r="I343" s="17" t="str">
        <f>SUBSTITUTE(SUBSTITUTE(SUBSTITUTE(StatusBranchGrade[[#This Row],[Status]] &amp; "  /  " &amp; StatusBranchGrade[[#This Row],[Branch]] &amp; ";", "  /  ;", ";"), "  /  ;", ";"), ";", "")</f>
        <v>Full-time Nat'l Guard  /  Air Force</v>
      </c>
      <c r="J343">
        <v>12</v>
      </c>
      <c r="K343" s="17" t="str">
        <f>IF(LEFT(StatusBranchGrade[[#This Row],[Which]], 1) = "1", StatusBranchGrade[[#This Row],[Key]], "")</f>
        <v>Full-time Nat'l Guard  /  Air Force  /  E-6</v>
      </c>
      <c r="L343" s="17" t="str">
        <f>IF(LEFT(StatusBranchGrade[[#This Row],[Which]], 1) = "1", StatusBranchGrade[[#This Row],[Key0]], "")</f>
        <v>Full-time Nat'l Guard  /  Air Force</v>
      </c>
      <c r="M343" s="17" t="str">
        <f>IF(RIGHT(StatusBranchGrade[[#This Row],[Which]], 1) = "2", StatusBranchGrade[[#This Row],[Key]], "")</f>
        <v>Full-time Nat'l Guard  /  Air Force  /  E-6</v>
      </c>
      <c r="N343" s="17" t="str">
        <f>IF(RIGHT(StatusBranchGrade[[#This Row],[Which]], 1) = "2", StatusBranchGrade[[#This Row],[Key0]], "")</f>
        <v>Full-time Nat'l Guard  /  Air Force</v>
      </c>
      <c r="O343" s="17" t="s">
        <v>301</v>
      </c>
      <c r="P343" s="17"/>
      <c r="Q343" s="63">
        <f>--ISNUMBER(IF(StatusBranchGrade[[#This Row],[Sponsor0]] = 'Calculation Worksheet'!$AV$6 &amp; "  /  " &amp; 'Calculation Worksheet'!$AV$7, 1, ""))</f>
        <v>0</v>
      </c>
      <c r="R343" s="63" t="str">
        <f>IF(StatusBranchGrade[[#This Row],[S1]] = 1, COUNTIF($Q$3:Q343, 1), "")</f>
        <v/>
      </c>
      <c r="S343" s="63" t="str">
        <f>IFERROR(INDEX(StatusBranchGrade[Rank/Grade], MATCH(ROWS($R$3:R343)-1, StatusBranchGrade[S2], 0)), "") &amp; ""</f>
        <v/>
      </c>
      <c r="T343" s="63">
        <f>--ISNUMBER(IF(StatusBranchGrade[[#This Row],[Spouse0]] = 'Calculation Worksheet'!$CG$6 &amp; "  /  " &amp; 'Calculation Worksheet'!$CG$7, 1, ""))</f>
        <v>0</v>
      </c>
      <c r="U343" s="63" t="str">
        <f>IF(StatusBranchGrade[[#This Row],[T1]] = 1, COUNTIF($T$3:T343, 1), "")</f>
        <v/>
      </c>
      <c r="V343" s="63" t="str">
        <f>IFERROR(INDEX(StatusBranchGrade[Rank/Grade], MATCH(ROWS($U$3:U343)-1, StatusBranchGrade[T2], 0)), "") &amp; ""</f>
        <v/>
      </c>
      <c r="W343" s="63"/>
    </row>
    <row r="344" spans="1:23" x14ac:dyDescent="0.25">
      <c r="A344">
        <v>6</v>
      </c>
      <c r="B344" t="s">
        <v>390</v>
      </c>
      <c r="C344" t="s">
        <v>183</v>
      </c>
      <c r="D344" t="s">
        <v>99</v>
      </c>
      <c r="E344" t="str">
        <f>IF(StatusBranchGrade[[#This Row],[Status]] = "CYS", "DoD", StatusBranchGrade[[#This Row],[Rank]] &amp; "")</f>
        <v>E-7</v>
      </c>
      <c r="F344" t="s">
        <v>99</v>
      </c>
      <c r="G344" t="str">
        <f>IF(StatusBranchGrade[[#This Row],[Rank]] = StatusBranchGrade[[#This Row],[Grade]], StatusBranchGrade[[#This Row],[Rank]], StatusBranchGrade[[#This Row],[Grade]] &amp; "/" &amp; StatusBranchGrade[[#This Row],[Rank]]) &amp; ""</f>
        <v>E-7</v>
      </c>
      <c r="H3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E-7</v>
      </c>
      <c r="I344" s="17" t="str">
        <f>SUBSTITUTE(SUBSTITUTE(SUBSTITUTE(StatusBranchGrade[[#This Row],[Status]] &amp; "  /  " &amp; StatusBranchGrade[[#This Row],[Branch]] &amp; ";", "  /  ;", ";"), "  /  ;", ";"), ";", "")</f>
        <v>Full-time Nat'l Guard  /  Air Force</v>
      </c>
      <c r="J344">
        <v>12</v>
      </c>
      <c r="K344" s="17" t="str">
        <f>IF(LEFT(StatusBranchGrade[[#This Row],[Which]], 1) = "1", StatusBranchGrade[[#This Row],[Key]], "")</f>
        <v>Full-time Nat'l Guard  /  Air Force  /  E-7</v>
      </c>
      <c r="L344" s="17" t="str">
        <f>IF(LEFT(StatusBranchGrade[[#This Row],[Which]], 1) = "1", StatusBranchGrade[[#This Row],[Key0]], "")</f>
        <v>Full-time Nat'l Guard  /  Air Force</v>
      </c>
      <c r="M344" s="17" t="str">
        <f>IF(RIGHT(StatusBranchGrade[[#This Row],[Which]], 1) = "2", StatusBranchGrade[[#This Row],[Key]], "")</f>
        <v>Full-time Nat'l Guard  /  Air Force  /  E-7</v>
      </c>
      <c r="N344" s="17" t="str">
        <f>IF(RIGHT(StatusBranchGrade[[#This Row],[Which]], 1) = "2", StatusBranchGrade[[#This Row],[Key0]], "")</f>
        <v>Full-time Nat'l Guard  /  Air Force</v>
      </c>
      <c r="O344" s="17" t="s">
        <v>301</v>
      </c>
      <c r="P344" s="17"/>
      <c r="Q344" s="63">
        <f>--ISNUMBER(IF(StatusBranchGrade[[#This Row],[Sponsor0]] = 'Calculation Worksheet'!$AV$6 &amp; "  /  " &amp; 'Calculation Worksheet'!$AV$7, 1, ""))</f>
        <v>0</v>
      </c>
      <c r="R344" s="63" t="str">
        <f>IF(StatusBranchGrade[[#This Row],[S1]] = 1, COUNTIF($Q$3:Q344, 1), "")</f>
        <v/>
      </c>
      <c r="S344" s="63" t="str">
        <f>IFERROR(INDEX(StatusBranchGrade[Rank/Grade], MATCH(ROWS($R$3:R344)-1, StatusBranchGrade[S2], 0)), "") &amp; ""</f>
        <v/>
      </c>
      <c r="T344" s="63">
        <f>--ISNUMBER(IF(StatusBranchGrade[[#This Row],[Spouse0]] = 'Calculation Worksheet'!$CG$6 &amp; "  /  " &amp; 'Calculation Worksheet'!$CG$7, 1, ""))</f>
        <v>0</v>
      </c>
      <c r="U344" s="63" t="str">
        <f>IF(StatusBranchGrade[[#This Row],[T1]] = 1, COUNTIF($T$3:T344, 1), "")</f>
        <v/>
      </c>
      <c r="V344" s="63" t="str">
        <f>IFERROR(INDEX(StatusBranchGrade[Rank/Grade], MATCH(ROWS($U$3:U344)-1, StatusBranchGrade[T2], 0)), "") &amp; ""</f>
        <v/>
      </c>
      <c r="W344" s="63"/>
    </row>
    <row r="345" spans="1:23" x14ac:dyDescent="0.25">
      <c r="A345">
        <v>6</v>
      </c>
      <c r="B345" t="s">
        <v>390</v>
      </c>
      <c r="C345" t="s">
        <v>183</v>
      </c>
      <c r="D345" t="s">
        <v>98</v>
      </c>
      <c r="E345" t="str">
        <f>IF(StatusBranchGrade[[#This Row],[Status]] = "CYS", "DoD", StatusBranchGrade[[#This Row],[Rank]] &amp; "")</f>
        <v>E-8</v>
      </c>
      <c r="F345" t="s">
        <v>98</v>
      </c>
      <c r="G345" t="str">
        <f>IF(StatusBranchGrade[[#This Row],[Rank]] = StatusBranchGrade[[#This Row],[Grade]], StatusBranchGrade[[#This Row],[Rank]], StatusBranchGrade[[#This Row],[Grade]] &amp; "/" &amp; StatusBranchGrade[[#This Row],[Rank]]) &amp; ""</f>
        <v>E-8</v>
      </c>
      <c r="H3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E-8</v>
      </c>
      <c r="I345" s="17" t="str">
        <f>SUBSTITUTE(SUBSTITUTE(SUBSTITUTE(StatusBranchGrade[[#This Row],[Status]] &amp; "  /  " &amp; StatusBranchGrade[[#This Row],[Branch]] &amp; ";", "  /  ;", ";"), "  /  ;", ";"), ";", "")</f>
        <v>Full-time Nat'l Guard  /  Air Force</v>
      </c>
      <c r="J345">
        <v>12</v>
      </c>
      <c r="K345" s="17" t="str">
        <f>IF(LEFT(StatusBranchGrade[[#This Row],[Which]], 1) = "1", StatusBranchGrade[[#This Row],[Key]], "")</f>
        <v>Full-time Nat'l Guard  /  Air Force  /  E-8</v>
      </c>
      <c r="L345" s="17" t="str">
        <f>IF(LEFT(StatusBranchGrade[[#This Row],[Which]], 1) = "1", StatusBranchGrade[[#This Row],[Key0]], "")</f>
        <v>Full-time Nat'l Guard  /  Air Force</v>
      </c>
      <c r="M345" s="17" t="str">
        <f>IF(RIGHT(StatusBranchGrade[[#This Row],[Which]], 1) = "2", StatusBranchGrade[[#This Row],[Key]], "")</f>
        <v>Full-time Nat'l Guard  /  Air Force  /  E-8</v>
      </c>
      <c r="N345" s="17" t="str">
        <f>IF(RIGHT(StatusBranchGrade[[#This Row],[Which]], 1) = "2", StatusBranchGrade[[#This Row],[Key0]], "")</f>
        <v>Full-time Nat'l Guard  /  Air Force</v>
      </c>
      <c r="O345" s="17" t="s">
        <v>301</v>
      </c>
      <c r="P345" s="17"/>
      <c r="Q345" s="63">
        <f>--ISNUMBER(IF(StatusBranchGrade[[#This Row],[Sponsor0]] = 'Calculation Worksheet'!$AV$6 &amp; "  /  " &amp; 'Calculation Worksheet'!$AV$7, 1, ""))</f>
        <v>0</v>
      </c>
      <c r="R345" s="63" t="str">
        <f>IF(StatusBranchGrade[[#This Row],[S1]] = 1, COUNTIF($Q$3:Q345, 1), "")</f>
        <v/>
      </c>
      <c r="S345" s="63" t="str">
        <f>IFERROR(INDEX(StatusBranchGrade[Rank/Grade], MATCH(ROWS($R$3:R345)-1, StatusBranchGrade[S2], 0)), "") &amp; ""</f>
        <v/>
      </c>
      <c r="T345" s="63">
        <f>--ISNUMBER(IF(StatusBranchGrade[[#This Row],[Spouse0]] = 'Calculation Worksheet'!$CG$6 &amp; "  /  " &amp; 'Calculation Worksheet'!$CG$7, 1, ""))</f>
        <v>0</v>
      </c>
      <c r="U345" s="63" t="str">
        <f>IF(StatusBranchGrade[[#This Row],[T1]] = 1, COUNTIF($T$3:T345, 1), "")</f>
        <v/>
      </c>
      <c r="V345" s="63" t="str">
        <f>IFERROR(INDEX(StatusBranchGrade[Rank/Grade], MATCH(ROWS($U$3:U345)-1, StatusBranchGrade[T2], 0)), "") &amp; ""</f>
        <v/>
      </c>
      <c r="W345" s="63"/>
    </row>
    <row r="346" spans="1:23" x14ac:dyDescent="0.25">
      <c r="A346">
        <v>6</v>
      </c>
      <c r="B346" t="s">
        <v>390</v>
      </c>
      <c r="C346" t="s">
        <v>183</v>
      </c>
      <c r="D346" t="s">
        <v>97</v>
      </c>
      <c r="E346" t="str">
        <f>IF(StatusBranchGrade[[#This Row],[Status]] = "CYS", "DoD", StatusBranchGrade[[#This Row],[Rank]] &amp; "")</f>
        <v>E-9</v>
      </c>
      <c r="F346" t="s">
        <v>97</v>
      </c>
      <c r="G346" t="str">
        <f>IF(StatusBranchGrade[[#This Row],[Rank]] = StatusBranchGrade[[#This Row],[Grade]], StatusBranchGrade[[#This Row],[Rank]], StatusBranchGrade[[#This Row],[Grade]] &amp; "/" &amp; StatusBranchGrade[[#This Row],[Rank]]) &amp; ""</f>
        <v>E-9</v>
      </c>
      <c r="H3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E-9</v>
      </c>
      <c r="I346" s="17" t="str">
        <f>SUBSTITUTE(SUBSTITUTE(SUBSTITUTE(StatusBranchGrade[[#This Row],[Status]] &amp; "  /  " &amp; StatusBranchGrade[[#This Row],[Branch]] &amp; ";", "  /  ;", ";"), "  /  ;", ";"), ";", "")</f>
        <v>Full-time Nat'l Guard  /  Air Force</v>
      </c>
      <c r="J346">
        <v>12</v>
      </c>
      <c r="K346" s="17" t="str">
        <f>IF(LEFT(StatusBranchGrade[[#This Row],[Which]], 1) = "1", StatusBranchGrade[[#This Row],[Key]], "")</f>
        <v>Full-time Nat'l Guard  /  Air Force  /  E-9</v>
      </c>
      <c r="L346" s="17" t="str">
        <f>IF(LEFT(StatusBranchGrade[[#This Row],[Which]], 1) = "1", StatusBranchGrade[[#This Row],[Key0]], "")</f>
        <v>Full-time Nat'l Guard  /  Air Force</v>
      </c>
      <c r="M346" s="17" t="str">
        <f>IF(RIGHT(StatusBranchGrade[[#This Row],[Which]], 1) = "2", StatusBranchGrade[[#This Row],[Key]], "")</f>
        <v>Full-time Nat'l Guard  /  Air Force  /  E-9</v>
      </c>
      <c r="N346" s="17" t="str">
        <f>IF(RIGHT(StatusBranchGrade[[#This Row],[Which]], 1) = "2", StatusBranchGrade[[#This Row],[Key0]], "")</f>
        <v>Full-time Nat'l Guard  /  Air Force</v>
      </c>
      <c r="O346" s="17" t="s">
        <v>301</v>
      </c>
      <c r="P346" s="17"/>
      <c r="Q346" s="63">
        <f>--ISNUMBER(IF(StatusBranchGrade[[#This Row],[Sponsor0]] = 'Calculation Worksheet'!$AV$6 &amp; "  /  " &amp; 'Calculation Worksheet'!$AV$7, 1, ""))</f>
        <v>0</v>
      </c>
      <c r="R346" s="63" t="str">
        <f>IF(StatusBranchGrade[[#This Row],[S1]] = 1, COUNTIF($Q$3:Q346, 1), "")</f>
        <v/>
      </c>
      <c r="S346" s="63" t="str">
        <f>IFERROR(INDEX(StatusBranchGrade[Rank/Grade], MATCH(ROWS($R$3:R346)-1, StatusBranchGrade[S2], 0)), "") &amp; ""</f>
        <v/>
      </c>
      <c r="T346" s="63">
        <f>--ISNUMBER(IF(StatusBranchGrade[[#This Row],[Spouse0]] = 'Calculation Worksheet'!$CG$6 &amp; "  /  " &amp; 'Calculation Worksheet'!$CG$7, 1, ""))</f>
        <v>0</v>
      </c>
      <c r="U346" s="63" t="str">
        <f>IF(StatusBranchGrade[[#This Row],[T1]] = 1, COUNTIF($T$3:T346, 1), "")</f>
        <v/>
      </c>
      <c r="V346" s="63" t="str">
        <f>IFERROR(INDEX(StatusBranchGrade[Rank/Grade], MATCH(ROWS($U$3:U346)-1, StatusBranchGrade[T2], 0)), "") &amp; ""</f>
        <v/>
      </c>
      <c r="W346" s="63"/>
    </row>
    <row r="347" spans="1:23" x14ac:dyDescent="0.25">
      <c r="A347">
        <v>6</v>
      </c>
      <c r="B347" t="s">
        <v>390</v>
      </c>
      <c r="C347" t="s">
        <v>183</v>
      </c>
      <c r="D347" t="s">
        <v>91</v>
      </c>
      <c r="E347" t="str">
        <f>IF(StatusBranchGrade[[#This Row],[Status]] = "CYS", "DoD", StatusBranchGrade[[#This Row],[Rank]] &amp; "")</f>
        <v>O-1</v>
      </c>
      <c r="F347" t="s">
        <v>91</v>
      </c>
      <c r="G347" t="str">
        <f>IF(StatusBranchGrade[[#This Row],[Rank]] = StatusBranchGrade[[#This Row],[Grade]], StatusBranchGrade[[#This Row],[Rank]], StatusBranchGrade[[#This Row],[Grade]] &amp; "/" &amp; StatusBranchGrade[[#This Row],[Rank]]) &amp; ""</f>
        <v>O-1</v>
      </c>
      <c r="H3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O-1</v>
      </c>
      <c r="I347" s="17" t="str">
        <f>SUBSTITUTE(SUBSTITUTE(SUBSTITUTE(StatusBranchGrade[[#This Row],[Status]] &amp; "  /  " &amp; StatusBranchGrade[[#This Row],[Branch]] &amp; ";", "  /  ;", ";"), "  /  ;", ";"), ";", "")</f>
        <v>Full-time Nat'l Guard  /  Air Force</v>
      </c>
      <c r="J347">
        <v>12</v>
      </c>
      <c r="K347" s="17" t="str">
        <f>IF(LEFT(StatusBranchGrade[[#This Row],[Which]], 1) = "1", StatusBranchGrade[[#This Row],[Key]], "")</f>
        <v>Full-time Nat'l Guard  /  Air Force  /  O-1</v>
      </c>
      <c r="L347" s="17" t="str">
        <f>IF(LEFT(StatusBranchGrade[[#This Row],[Which]], 1) = "1", StatusBranchGrade[[#This Row],[Key0]], "")</f>
        <v>Full-time Nat'l Guard  /  Air Force</v>
      </c>
      <c r="M347" s="17" t="str">
        <f>IF(RIGHT(StatusBranchGrade[[#This Row],[Which]], 1) = "2", StatusBranchGrade[[#This Row],[Key]], "")</f>
        <v>Full-time Nat'l Guard  /  Air Force  /  O-1</v>
      </c>
      <c r="N347" s="17" t="str">
        <f>IF(RIGHT(StatusBranchGrade[[#This Row],[Which]], 1) = "2", StatusBranchGrade[[#This Row],[Key0]], "")</f>
        <v>Full-time Nat'l Guard  /  Air Force</v>
      </c>
      <c r="O347" s="17" t="s">
        <v>301</v>
      </c>
      <c r="P347" s="17"/>
      <c r="Q347" s="63">
        <f>--ISNUMBER(IF(StatusBranchGrade[[#This Row],[Sponsor0]] = 'Calculation Worksheet'!$AV$6 &amp; "  /  " &amp; 'Calculation Worksheet'!$AV$7, 1, ""))</f>
        <v>0</v>
      </c>
      <c r="R347" s="63" t="str">
        <f>IF(StatusBranchGrade[[#This Row],[S1]] = 1, COUNTIF($Q$3:Q347, 1), "")</f>
        <v/>
      </c>
      <c r="S347" s="63" t="str">
        <f>IFERROR(INDEX(StatusBranchGrade[Rank/Grade], MATCH(ROWS($R$3:R347)-1, StatusBranchGrade[S2], 0)), "") &amp; ""</f>
        <v/>
      </c>
      <c r="T347" s="63">
        <f>--ISNUMBER(IF(StatusBranchGrade[[#This Row],[Spouse0]] = 'Calculation Worksheet'!$CG$6 &amp; "  /  " &amp; 'Calculation Worksheet'!$CG$7, 1, ""))</f>
        <v>0</v>
      </c>
      <c r="U347" s="63" t="str">
        <f>IF(StatusBranchGrade[[#This Row],[T1]] = 1, COUNTIF($T$3:T347, 1), "")</f>
        <v/>
      </c>
      <c r="V347" s="63" t="str">
        <f>IFERROR(INDEX(StatusBranchGrade[Rank/Grade], MATCH(ROWS($U$3:U347)-1, StatusBranchGrade[T2], 0)), "") &amp; ""</f>
        <v/>
      </c>
      <c r="W347" s="63"/>
    </row>
    <row r="348" spans="1:23" x14ac:dyDescent="0.25">
      <c r="A348">
        <v>6</v>
      </c>
      <c r="B348" t="s">
        <v>390</v>
      </c>
      <c r="C348" t="s">
        <v>183</v>
      </c>
      <c r="D348" s="75" t="s">
        <v>10</v>
      </c>
      <c r="E348" s="75" t="str">
        <f>IF(StatusBranchGrade[[#This Row],[Status]] = "CYS", "DoD", StatusBranchGrade[[#This Row],[Rank]] &amp; "")</f>
        <v>O1E</v>
      </c>
      <c r="F348" s="75" t="s">
        <v>91</v>
      </c>
      <c r="G348" s="75" t="str">
        <f>IF(StatusBranchGrade[[#This Row],[Rank]] = StatusBranchGrade[[#This Row],[Grade]], StatusBranchGrade[[#This Row],[Rank]], StatusBranchGrade[[#This Row],[Grade]] &amp; "/" &amp; StatusBranchGrade[[#This Row],[Rank]]) &amp; ""</f>
        <v>O-1/O1E</v>
      </c>
      <c r="H3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O-1/O1E</v>
      </c>
      <c r="I348" s="17" t="str">
        <f>SUBSTITUTE(SUBSTITUTE(SUBSTITUTE(StatusBranchGrade[[#This Row],[Status]] &amp; "  /  " &amp; StatusBranchGrade[[#This Row],[Branch]] &amp; ";", "  /  ;", ";"), "  /  ;", ";"), ";", "")</f>
        <v>Full-time Nat'l Guard  /  Air Force</v>
      </c>
      <c r="J348">
        <v>12</v>
      </c>
      <c r="K348" s="17" t="str">
        <f>IF(LEFT(StatusBranchGrade[[#This Row],[Which]], 1) = "1", StatusBranchGrade[[#This Row],[Key]], "")</f>
        <v>Full-time Nat'l Guard  /  Air Force  /  O-1/O1E</v>
      </c>
      <c r="L348" s="17" t="str">
        <f>IF(LEFT(StatusBranchGrade[[#This Row],[Which]], 1) = "1", StatusBranchGrade[[#This Row],[Key0]], "")</f>
        <v>Full-time Nat'l Guard  /  Air Force</v>
      </c>
      <c r="M348" s="17" t="str">
        <f>IF(RIGHT(StatusBranchGrade[[#This Row],[Which]], 1) = "2", StatusBranchGrade[[#This Row],[Key]], "")</f>
        <v>Full-time Nat'l Guard  /  Air Force  /  O-1/O1E</v>
      </c>
      <c r="N348" s="17" t="str">
        <f>IF(RIGHT(StatusBranchGrade[[#This Row],[Which]], 1) = "2", StatusBranchGrade[[#This Row],[Key0]], "")</f>
        <v>Full-time Nat'l Guard  /  Air Force</v>
      </c>
      <c r="O348" s="17" t="s">
        <v>301</v>
      </c>
      <c r="P348" s="17"/>
      <c r="Q348" s="63">
        <f>--ISNUMBER(IF(StatusBranchGrade[[#This Row],[Sponsor0]] = 'Calculation Worksheet'!$AV$6 &amp; "  /  " &amp; 'Calculation Worksheet'!$AV$7, 1, ""))</f>
        <v>0</v>
      </c>
      <c r="R348" s="63" t="str">
        <f>IF(StatusBranchGrade[[#This Row],[S1]] = 1, COUNTIF($Q$3:Q348, 1), "")</f>
        <v/>
      </c>
      <c r="S348" s="63" t="str">
        <f>IFERROR(INDEX(StatusBranchGrade[Rank/Grade], MATCH(ROWS($R$3:R348)-1, StatusBranchGrade[S2], 0)), "") &amp; ""</f>
        <v/>
      </c>
      <c r="T348" s="63">
        <f>--ISNUMBER(IF(StatusBranchGrade[[#This Row],[Spouse0]] = 'Calculation Worksheet'!$CG$6 &amp; "  /  " &amp; 'Calculation Worksheet'!$CG$7, 1, ""))</f>
        <v>0</v>
      </c>
      <c r="U348" s="63" t="str">
        <f>IF(StatusBranchGrade[[#This Row],[T1]] = 1, COUNTIF($T$3:T348, 1), "")</f>
        <v/>
      </c>
      <c r="V348" s="63" t="str">
        <f>IFERROR(INDEX(StatusBranchGrade[Rank/Grade], MATCH(ROWS($U$3:U348)-1, StatusBranchGrade[T2], 0)), "") &amp; ""</f>
        <v/>
      </c>
      <c r="W348" s="63"/>
    </row>
    <row r="349" spans="1:23" x14ac:dyDescent="0.25">
      <c r="A349">
        <v>6</v>
      </c>
      <c r="B349" t="s">
        <v>390</v>
      </c>
      <c r="C349" t="s">
        <v>183</v>
      </c>
      <c r="D349" t="s">
        <v>82</v>
      </c>
      <c r="E349" t="str">
        <f>IF(StatusBranchGrade[[#This Row],[Status]] = "CYS", "DoD", StatusBranchGrade[[#This Row],[Rank]] &amp; "")</f>
        <v>O-10</v>
      </c>
      <c r="F349" t="s">
        <v>82</v>
      </c>
      <c r="G349" t="str">
        <f>IF(StatusBranchGrade[[#This Row],[Rank]] = StatusBranchGrade[[#This Row],[Grade]], StatusBranchGrade[[#This Row],[Rank]], StatusBranchGrade[[#This Row],[Grade]] &amp; "/" &amp; StatusBranchGrade[[#This Row],[Rank]]) &amp; ""</f>
        <v>O-10</v>
      </c>
      <c r="H3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O-10</v>
      </c>
      <c r="I349" s="17" t="str">
        <f>SUBSTITUTE(SUBSTITUTE(SUBSTITUTE(StatusBranchGrade[[#This Row],[Status]] &amp; "  /  " &amp; StatusBranchGrade[[#This Row],[Branch]] &amp; ";", "  /  ;", ";"), "  /  ;", ";"), ";", "")</f>
        <v>Full-time Nat'l Guard  /  Air Force</v>
      </c>
      <c r="J349">
        <v>12</v>
      </c>
      <c r="K349" s="17" t="str">
        <f>IF(LEFT(StatusBranchGrade[[#This Row],[Which]], 1) = "1", StatusBranchGrade[[#This Row],[Key]], "")</f>
        <v>Full-time Nat'l Guard  /  Air Force  /  O-10</v>
      </c>
      <c r="L349" s="17" t="str">
        <f>IF(LEFT(StatusBranchGrade[[#This Row],[Which]], 1) = "1", StatusBranchGrade[[#This Row],[Key0]], "")</f>
        <v>Full-time Nat'l Guard  /  Air Force</v>
      </c>
      <c r="M349" s="17" t="str">
        <f>IF(RIGHT(StatusBranchGrade[[#This Row],[Which]], 1) = "2", StatusBranchGrade[[#This Row],[Key]], "")</f>
        <v>Full-time Nat'l Guard  /  Air Force  /  O-10</v>
      </c>
      <c r="N349" s="17" t="str">
        <f>IF(RIGHT(StatusBranchGrade[[#This Row],[Which]], 1) = "2", StatusBranchGrade[[#This Row],[Key0]], "")</f>
        <v>Full-time Nat'l Guard  /  Air Force</v>
      </c>
      <c r="O349" s="17" t="s">
        <v>301</v>
      </c>
      <c r="P349" s="17"/>
      <c r="Q349" s="63">
        <f>--ISNUMBER(IF(StatusBranchGrade[[#This Row],[Sponsor0]] = 'Calculation Worksheet'!$AV$6 &amp; "  /  " &amp; 'Calculation Worksheet'!$AV$7, 1, ""))</f>
        <v>0</v>
      </c>
      <c r="R349" s="63" t="str">
        <f>IF(StatusBranchGrade[[#This Row],[S1]] = 1, COUNTIF($Q$3:Q349, 1), "")</f>
        <v/>
      </c>
      <c r="S349" s="63" t="str">
        <f>IFERROR(INDEX(StatusBranchGrade[Rank/Grade], MATCH(ROWS($R$3:R349)-1, StatusBranchGrade[S2], 0)), "") &amp; ""</f>
        <v/>
      </c>
      <c r="T349" s="63">
        <f>--ISNUMBER(IF(StatusBranchGrade[[#This Row],[Spouse0]] = 'Calculation Worksheet'!$CG$6 &amp; "  /  " &amp; 'Calculation Worksheet'!$CG$7, 1, ""))</f>
        <v>0</v>
      </c>
      <c r="U349" s="63" t="str">
        <f>IF(StatusBranchGrade[[#This Row],[T1]] = 1, COUNTIF($T$3:T349, 1), "")</f>
        <v/>
      </c>
      <c r="V349" s="63" t="str">
        <f>IFERROR(INDEX(StatusBranchGrade[Rank/Grade], MATCH(ROWS($U$3:U349)-1, StatusBranchGrade[T2], 0)), "") &amp; ""</f>
        <v/>
      </c>
      <c r="W349" s="63"/>
    </row>
    <row r="350" spans="1:23" x14ac:dyDescent="0.25">
      <c r="A350">
        <v>6</v>
      </c>
      <c r="B350" t="s">
        <v>390</v>
      </c>
      <c r="C350" t="s">
        <v>183</v>
      </c>
      <c r="D350" t="s">
        <v>90</v>
      </c>
      <c r="E350" t="str">
        <f>IF(StatusBranchGrade[[#This Row],[Status]] = "CYS", "DoD", StatusBranchGrade[[#This Row],[Rank]] &amp; "")</f>
        <v>O-2</v>
      </c>
      <c r="F350" t="s">
        <v>90</v>
      </c>
      <c r="G350" t="str">
        <f>IF(StatusBranchGrade[[#This Row],[Rank]] = StatusBranchGrade[[#This Row],[Grade]], StatusBranchGrade[[#This Row],[Rank]], StatusBranchGrade[[#This Row],[Grade]] &amp; "/" &amp; StatusBranchGrade[[#This Row],[Rank]]) &amp; ""</f>
        <v>O-2</v>
      </c>
      <c r="H3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O-2</v>
      </c>
      <c r="I350" s="17" t="str">
        <f>SUBSTITUTE(SUBSTITUTE(SUBSTITUTE(StatusBranchGrade[[#This Row],[Status]] &amp; "  /  " &amp; StatusBranchGrade[[#This Row],[Branch]] &amp; ";", "  /  ;", ";"), "  /  ;", ";"), ";", "")</f>
        <v>Full-time Nat'l Guard  /  Air Force</v>
      </c>
      <c r="J350">
        <v>12</v>
      </c>
      <c r="K350" s="17" t="str">
        <f>IF(LEFT(StatusBranchGrade[[#This Row],[Which]], 1) = "1", StatusBranchGrade[[#This Row],[Key]], "")</f>
        <v>Full-time Nat'l Guard  /  Air Force  /  O-2</v>
      </c>
      <c r="L350" s="17" t="str">
        <f>IF(LEFT(StatusBranchGrade[[#This Row],[Which]], 1) = "1", StatusBranchGrade[[#This Row],[Key0]], "")</f>
        <v>Full-time Nat'l Guard  /  Air Force</v>
      </c>
      <c r="M350" s="17" t="str">
        <f>IF(RIGHT(StatusBranchGrade[[#This Row],[Which]], 1) = "2", StatusBranchGrade[[#This Row],[Key]], "")</f>
        <v>Full-time Nat'l Guard  /  Air Force  /  O-2</v>
      </c>
      <c r="N350" s="17" t="str">
        <f>IF(RIGHT(StatusBranchGrade[[#This Row],[Which]], 1) = "2", StatusBranchGrade[[#This Row],[Key0]], "")</f>
        <v>Full-time Nat'l Guard  /  Air Force</v>
      </c>
      <c r="O350" s="17" t="s">
        <v>301</v>
      </c>
      <c r="P350" s="17"/>
      <c r="Q350" s="63">
        <f>--ISNUMBER(IF(StatusBranchGrade[[#This Row],[Sponsor0]] = 'Calculation Worksheet'!$AV$6 &amp; "  /  " &amp; 'Calculation Worksheet'!$AV$7, 1, ""))</f>
        <v>0</v>
      </c>
      <c r="R350" s="63" t="str">
        <f>IF(StatusBranchGrade[[#This Row],[S1]] = 1, COUNTIF($Q$3:Q350, 1), "")</f>
        <v/>
      </c>
      <c r="S350" s="63" t="str">
        <f>IFERROR(INDEX(StatusBranchGrade[Rank/Grade], MATCH(ROWS($R$3:R350)-1, StatusBranchGrade[S2], 0)), "") &amp; ""</f>
        <v/>
      </c>
      <c r="T350" s="63">
        <f>--ISNUMBER(IF(StatusBranchGrade[[#This Row],[Spouse0]] = 'Calculation Worksheet'!$CG$6 &amp; "  /  " &amp; 'Calculation Worksheet'!$CG$7, 1, ""))</f>
        <v>0</v>
      </c>
      <c r="U350" s="63" t="str">
        <f>IF(StatusBranchGrade[[#This Row],[T1]] = 1, COUNTIF($T$3:T350, 1), "")</f>
        <v/>
      </c>
      <c r="V350" s="63" t="str">
        <f>IFERROR(INDEX(StatusBranchGrade[Rank/Grade], MATCH(ROWS($U$3:U350)-1, StatusBranchGrade[T2], 0)), "") &amp; ""</f>
        <v/>
      </c>
      <c r="W350" s="63"/>
    </row>
    <row r="351" spans="1:23" x14ac:dyDescent="0.25">
      <c r="A351">
        <v>6</v>
      </c>
      <c r="B351" t="s">
        <v>390</v>
      </c>
      <c r="C351" t="s">
        <v>183</v>
      </c>
      <c r="D351" s="75" t="s">
        <v>11</v>
      </c>
      <c r="E351" s="75" t="str">
        <f>IF(StatusBranchGrade[[#This Row],[Status]] = "CYS", "DoD", StatusBranchGrade[[#This Row],[Rank]] &amp; "")</f>
        <v>O2E</v>
      </c>
      <c r="F351" s="75" t="s">
        <v>90</v>
      </c>
      <c r="G351" s="75" t="str">
        <f>IF(StatusBranchGrade[[#This Row],[Rank]] = StatusBranchGrade[[#This Row],[Grade]], StatusBranchGrade[[#This Row],[Rank]], StatusBranchGrade[[#This Row],[Grade]] &amp; "/" &amp; StatusBranchGrade[[#This Row],[Rank]]) &amp; ""</f>
        <v>O-2/O2E</v>
      </c>
      <c r="H3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O-2/O2E</v>
      </c>
      <c r="I351" s="17" t="str">
        <f>SUBSTITUTE(SUBSTITUTE(SUBSTITUTE(StatusBranchGrade[[#This Row],[Status]] &amp; "  /  " &amp; StatusBranchGrade[[#This Row],[Branch]] &amp; ";", "  /  ;", ";"), "  /  ;", ";"), ";", "")</f>
        <v>Full-time Nat'l Guard  /  Air Force</v>
      </c>
      <c r="J351">
        <v>12</v>
      </c>
      <c r="K351" s="17" t="str">
        <f>IF(LEFT(StatusBranchGrade[[#This Row],[Which]], 1) = "1", StatusBranchGrade[[#This Row],[Key]], "")</f>
        <v>Full-time Nat'l Guard  /  Air Force  /  O-2/O2E</v>
      </c>
      <c r="L351" s="17" t="str">
        <f>IF(LEFT(StatusBranchGrade[[#This Row],[Which]], 1) = "1", StatusBranchGrade[[#This Row],[Key0]], "")</f>
        <v>Full-time Nat'l Guard  /  Air Force</v>
      </c>
      <c r="M351" s="17" t="str">
        <f>IF(RIGHT(StatusBranchGrade[[#This Row],[Which]], 1) = "2", StatusBranchGrade[[#This Row],[Key]], "")</f>
        <v>Full-time Nat'l Guard  /  Air Force  /  O-2/O2E</v>
      </c>
      <c r="N351" s="17" t="str">
        <f>IF(RIGHT(StatusBranchGrade[[#This Row],[Which]], 1) = "2", StatusBranchGrade[[#This Row],[Key0]], "")</f>
        <v>Full-time Nat'l Guard  /  Air Force</v>
      </c>
      <c r="O351" s="17" t="s">
        <v>301</v>
      </c>
      <c r="P351" s="17"/>
      <c r="Q351" s="63">
        <f>--ISNUMBER(IF(StatusBranchGrade[[#This Row],[Sponsor0]] = 'Calculation Worksheet'!$AV$6 &amp; "  /  " &amp; 'Calculation Worksheet'!$AV$7, 1, ""))</f>
        <v>0</v>
      </c>
      <c r="R351" s="63" t="str">
        <f>IF(StatusBranchGrade[[#This Row],[S1]] = 1, COUNTIF($Q$3:Q351, 1), "")</f>
        <v/>
      </c>
      <c r="S351" s="63" t="str">
        <f>IFERROR(INDEX(StatusBranchGrade[Rank/Grade], MATCH(ROWS($R$3:R351)-1, StatusBranchGrade[S2], 0)), "") &amp; ""</f>
        <v/>
      </c>
      <c r="T351" s="63">
        <f>--ISNUMBER(IF(StatusBranchGrade[[#This Row],[Spouse0]] = 'Calculation Worksheet'!$CG$6 &amp; "  /  " &amp; 'Calculation Worksheet'!$CG$7, 1, ""))</f>
        <v>0</v>
      </c>
      <c r="U351" s="63" t="str">
        <f>IF(StatusBranchGrade[[#This Row],[T1]] = 1, COUNTIF($T$3:T351, 1), "")</f>
        <v/>
      </c>
      <c r="V351" s="63" t="str">
        <f>IFERROR(INDEX(StatusBranchGrade[Rank/Grade], MATCH(ROWS($U$3:U351)-1, StatusBranchGrade[T2], 0)), "") &amp; ""</f>
        <v/>
      </c>
      <c r="W351" s="63"/>
    </row>
    <row r="352" spans="1:23" x14ac:dyDescent="0.25">
      <c r="A352">
        <v>6</v>
      </c>
      <c r="B352" t="s">
        <v>390</v>
      </c>
      <c r="C352" t="s">
        <v>183</v>
      </c>
      <c r="D352" t="s">
        <v>89</v>
      </c>
      <c r="E352" t="str">
        <f>IF(StatusBranchGrade[[#This Row],[Status]] = "CYS", "DoD", StatusBranchGrade[[#This Row],[Rank]] &amp; "")</f>
        <v>O-3</v>
      </c>
      <c r="F352" t="s">
        <v>89</v>
      </c>
      <c r="G352" t="str">
        <f>IF(StatusBranchGrade[[#This Row],[Rank]] = StatusBranchGrade[[#This Row],[Grade]], StatusBranchGrade[[#This Row],[Rank]], StatusBranchGrade[[#This Row],[Grade]] &amp; "/" &amp; StatusBranchGrade[[#This Row],[Rank]]) &amp; ""</f>
        <v>O-3</v>
      </c>
      <c r="H3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O-3</v>
      </c>
      <c r="I352" s="17" t="str">
        <f>SUBSTITUTE(SUBSTITUTE(SUBSTITUTE(StatusBranchGrade[[#This Row],[Status]] &amp; "  /  " &amp; StatusBranchGrade[[#This Row],[Branch]] &amp; ";", "  /  ;", ";"), "  /  ;", ";"), ";", "")</f>
        <v>Full-time Nat'l Guard  /  Air Force</v>
      </c>
      <c r="J352">
        <v>12</v>
      </c>
      <c r="K352" s="17" t="str">
        <f>IF(LEFT(StatusBranchGrade[[#This Row],[Which]], 1) = "1", StatusBranchGrade[[#This Row],[Key]], "")</f>
        <v>Full-time Nat'l Guard  /  Air Force  /  O-3</v>
      </c>
      <c r="L352" s="17" t="str">
        <f>IF(LEFT(StatusBranchGrade[[#This Row],[Which]], 1) = "1", StatusBranchGrade[[#This Row],[Key0]], "")</f>
        <v>Full-time Nat'l Guard  /  Air Force</v>
      </c>
      <c r="M352" s="17" t="str">
        <f>IF(RIGHT(StatusBranchGrade[[#This Row],[Which]], 1) = "2", StatusBranchGrade[[#This Row],[Key]], "")</f>
        <v>Full-time Nat'l Guard  /  Air Force  /  O-3</v>
      </c>
      <c r="N352" s="17" t="str">
        <f>IF(RIGHT(StatusBranchGrade[[#This Row],[Which]], 1) = "2", StatusBranchGrade[[#This Row],[Key0]], "")</f>
        <v>Full-time Nat'l Guard  /  Air Force</v>
      </c>
      <c r="O352" s="17" t="s">
        <v>301</v>
      </c>
      <c r="P352" s="17"/>
      <c r="Q352" s="63">
        <f>--ISNUMBER(IF(StatusBranchGrade[[#This Row],[Sponsor0]] = 'Calculation Worksheet'!$AV$6 &amp; "  /  " &amp; 'Calculation Worksheet'!$AV$7, 1, ""))</f>
        <v>0</v>
      </c>
      <c r="R352" s="63" t="str">
        <f>IF(StatusBranchGrade[[#This Row],[S1]] = 1, COUNTIF($Q$3:Q352, 1), "")</f>
        <v/>
      </c>
      <c r="S352" s="63" t="str">
        <f>IFERROR(INDEX(StatusBranchGrade[Rank/Grade], MATCH(ROWS($R$3:R352)-1, StatusBranchGrade[S2], 0)), "") &amp; ""</f>
        <v/>
      </c>
      <c r="T352" s="63">
        <f>--ISNUMBER(IF(StatusBranchGrade[[#This Row],[Spouse0]] = 'Calculation Worksheet'!$CG$6 &amp; "  /  " &amp; 'Calculation Worksheet'!$CG$7, 1, ""))</f>
        <v>0</v>
      </c>
      <c r="U352" s="63" t="str">
        <f>IF(StatusBranchGrade[[#This Row],[T1]] = 1, COUNTIF($T$3:T352, 1), "")</f>
        <v/>
      </c>
      <c r="V352" s="63" t="str">
        <f>IFERROR(INDEX(StatusBranchGrade[Rank/Grade], MATCH(ROWS($U$3:U352)-1, StatusBranchGrade[T2], 0)), "") &amp; ""</f>
        <v/>
      </c>
      <c r="W352" s="63"/>
    </row>
    <row r="353" spans="1:23" x14ac:dyDescent="0.25">
      <c r="A353">
        <v>6</v>
      </c>
      <c r="B353" t="s">
        <v>390</v>
      </c>
      <c r="C353" t="s">
        <v>183</v>
      </c>
      <c r="D353" s="75" t="s">
        <v>12</v>
      </c>
      <c r="E353" s="75" t="str">
        <f>IF(StatusBranchGrade[[#This Row],[Status]] = "CYS", "DoD", StatusBranchGrade[[#This Row],[Rank]] &amp; "")</f>
        <v>O3E</v>
      </c>
      <c r="F353" s="75" t="s">
        <v>89</v>
      </c>
      <c r="G353" s="75" t="str">
        <f>IF(StatusBranchGrade[[#This Row],[Rank]] = StatusBranchGrade[[#This Row],[Grade]], StatusBranchGrade[[#This Row],[Rank]], StatusBranchGrade[[#This Row],[Grade]] &amp; "/" &amp; StatusBranchGrade[[#This Row],[Rank]]) &amp; ""</f>
        <v>O-3/O3E</v>
      </c>
      <c r="H3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O-3/O3E</v>
      </c>
      <c r="I353" s="17" t="str">
        <f>SUBSTITUTE(SUBSTITUTE(SUBSTITUTE(StatusBranchGrade[[#This Row],[Status]] &amp; "  /  " &amp; StatusBranchGrade[[#This Row],[Branch]] &amp; ";", "  /  ;", ";"), "  /  ;", ";"), ";", "")</f>
        <v>Full-time Nat'l Guard  /  Air Force</v>
      </c>
      <c r="J353">
        <v>12</v>
      </c>
      <c r="K353" s="17" t="str">
        <f>IF(LEFT(StatusBranchGrade[[#This Row],[Which]], 1) = "1", StatusBranchGrade[[#This Row],[Key]], "")</f>
        <v>Full-time Nat'l Guard  /  Air Force  /  O-3/O3E</v>
      </c>
      <c r="L353" s="17" t="str">
        <f>IF(LEFT(StatusBranchGrade[[#This Row],[Which]], 1) = "1", StatusBranchGrade[[#This Row],[Key0]], "")</f>
        <v>Full-time Nat'l Guard  /  Air Force</v>
      </c>
      <c r="M353" s="17" t="str">
        <f>IF(RIGHT(StatusBranchGrade[[#This Row],[Which]], 1) = "2", StatusBranchGrade[[#This Row],[Key]], "")</f>
        <v>Full-time Nat'l Guard  /  Air Force  /  O-3/O3E</v>
      </c>
      <c r="N353" s="17" t="str">
        <f>IF(RIGHT(StatusBranchGrade[[#This Row],[Which]], 1) = "2", StatusBranchGrade[[#This Row],[Key0]], "")</f>
        <v>Full-time Nat'l Guard  /  Air Force</v>
      </c>
      <c r="O353" s="17" t="s">
        <v>301</v>
      </c>
      <c r="P353" s="17"/>
      <c r="Q353" s="63">
        <f>--ISNUMBER(IF(StatusBranchGrade[[#This Row],[Sponsor0]] = 'Calculation Worksheet'!$AV$6 &amp; "  /  " &amp; 'Calculation Worksheet'!$AV$7, 1, ""))</f>
        <v>0</v>
      </c>
      <c r="R353" s="63" t="str">
        <f>IF(StatusBranchGrade[[#This Row],[S1]] = 1, COUNTIF($Q$3:Q353, 1), "")</f>
        <v/>
      </c>
      <c r="S353" s="63" t="str">
        <f>IFERROR(INDEX(StatusBranchGrade[Rank/Grade], MATCH(ROWS($R$3:R353)-1, StatusBranchGrade[S2], 0)), "") &amp; ""</f>
        <v/>
      </c>
      <c r="T353" s="63">
        <f>--ISNUMBER(IF(StatusBranchGrade[[#This Row],[Spouse0]] = 'Calculation Worksheet'!$CG$6 &amp; "  /  " &amp; 'Calculation Worksheet'!$CG$7, 1, ""))</f>
        <v>0</v>
      </c>
      <c r="U353" s="63" t="str">
        <f>IF(StatusBranchGrade[[#This Row],[T1]] = 1, COUNTIF($T$3:T353, 1), "")</f>
        <v/>
      </c>
      <c r="V353" s="63" t="str">
        <f>IFERROR(INDEX(StatusBranchGrade[Rank/Grade], MATCH(ROWS($U$3:U353)-1, StatusBranchGrade[T2], 0)), "") &amp; ""</f>
        <v/>
      </c>
      <c r="W353" s="63"/>
    </row>
    <row r="354" spans="1:23" x14ac:dyDescent="0.25">
      <c r="A354">
        <v>6</v>
      </c>
      <c r="B354" t="s">
        <v>390</v>
      </c>
      <c r="C354" t="s">
        <v>183</v>
      </c>
      <c r="D354" t="s">
        <v>88</v>
      </c>
      <c r="E354" t="str">
        <f>IF(StatusBranchGrade[[#This Row],[Status]] = "CYS", "DoD", StatusBranchGrade[[#This Row],[Rank]] &amp; "")</f>
        <v>O-4</v>
      </c>
      <c r="F354" t="s">
        <v>88</v>
      </c>
      <c r="G354" t="str">
        <f>IF(StatusBranchGrade[[#This Row],[Rank]] = StatusBranchGrade[[#This Row],[Grade]], StatusBranchGrade[[#This Row],[Rank]], StatusBranchGrade[[#This Row],[Grade]] &amp; "/" &amp; StatusBranchGrade[[#This Row],[Rank]]) &amp; ""</f>
        <v>O-4</v>
      </c>
      <c r="H3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O-4</v>
      </c>
      <c r="I354" s="17" t="str">
        <f>SUBSTITUTE(SUBSTITUTE(SUBSTITUTE(StatusBranchGrade[[#This Row],[Status]] &amp; "  /  " &amp; StatusBranchGrade[[#This Row],[Branch]] &amp; ";", "  /  ;", ";"), "  /  ;", ";"), ";", "")</f>
        <v>Full-time Nat'l Guard  /  Air Force</v>
      </c>
      <c r="J354">
        <v>12</v>
      </c>
      <c r="K354" s="17" t="str">
        <f>IF(LEFT(StatusBranchGrade[[#This Row],[Which]], 1) = "1", StatusBranchGrade[[#This Row],[Key]], "")</f>
        <v>Full-time Nat'l Guard  /  Air Force  /  O-4</v>
      </c>
      <c r="L354" s="17" t="str">
        <f>IF(LEFT(StatusBranchGrade[[#This Row],[Which]], 1) = "1", StatusBranchGrade[[#This Row],[Key0]], "")</f>
        <v>Full-time Nat'l Guard  /  Air Force</v>
      </c>
      <c r="M354" s="17" t="str">
        <f>IF(RIGHT(StatusBranchGrade[[#This Row],[Which]], 1) = "2", StatusBranchGrade[[#This Row],[Key]], "")</f>
        <v>Full-time Nat'l Guard  /  Air Force  /  O-4</v>
      </c>
      <c r="N354" s="17" t="str">
        <f>IF(RIGHT(StatusBranchGrade[[#This Row],[Which]], 1) = "2", StatusBranchGrade[[#This Row],[Key0]], "")</f>
        <v>Full-time Nat'l Guard  /  Air Force</v>
      </c>
      <c r="O354" s="17" t="s">
        <v>301</v>
      </c>
      <c r="P354" s="17"/>
      <c r="Q354" s="63">
        <f>--ISNUMBER(IF(StatusBranchGrade[[#This Row],[Sponsor0]] = 'Calculation Worksheet'!$AV$6 &amp; "  /  " &amp; 'Calculation Worksheet'!$AV$7, 1, ""))</f>
        <v>0</v>
      </c>
      <c r="R354" s="63" t="str">
        <f>IF(StatusBranchGrade[[#This Row],[S1]] = 1, COUNTIF($Q$3:Q354, 1), "")</f>
        <v/>
      </c>
      <c r="S354" s="63" t="str">
        <f>IFERROR(INDEX(StatusBranchGrade[Rank/Grade], MATCH(ROWS($R$3:R354)-1, StatusBranchGrade[S2], 0)), "") &amp; ""</f>
        <v/>
      </c>
      <c r="T354" s="63">
        <f>--ISNUMBER(IF(StatusBranchGrade[[#This Row],[Spouse0]] = 'Calculation Worksheet'!$CG$6 &amp; "  /  " &amp; 'Calculation Worksheet'!$CG$7, 1, ""))</f>
        <v>0</v>
      </c>
      <c r="U354" s="63" t="str">
        <f>IF(StatusBranchGrade[[#This Row],[T1]] = 1, COUNTIF($T$3:T354, 1), "")</f>
        <v/>
      </c>
      <c r="V354" s="63" t="str">
        <f>IFERROR(INDEX(StatusBranchGrade[Rank/Grade], MATCH(ROWS($U$3:U354)-1, StatusBranchGrade[T2], 0)), "") &amp; ""</f>
        <v/>
      </c>
      <c r="W354" s="63"/>
    </row>
    <row r="355" spans="1:23" x14ac:dyDescent="0.25">
      <c r="A355">
        <v>6</v>
      </c>
      <c r="B355" t="s">
        <v>390</v>
      </c>
      <c r="C355" t="s">
        <v>183</v>
      </c>
      <c r="D355" t="s">
        <v>87</v>
      </c>
      <c r="E355" t="str">
        <f>IF(StatusBranchGrade[[#This Row],[Status]] = "CYS", "DoD", StatusBranchGrade[[#This Row],[Rank]] &amp; "")</f>
        <v>O-5</v>
      </c>
      <c r="F355" t="s">
        <v>87</v>
      </c>
      <c r="G355" t="str">
        <f>IF(StatusBranchGrade[[#This Row],[Rank]] = StatusBranchGrade[[#This Row],[Grade]], StatusBranchGrade[[#This Row],[Rank]], StatusBranchGrade[[#This Row],[Grade]] &amp; "/" &amp; StatusBranchGrade[[#This Row],[Rank]]) &amp; ""</f>
        <v>O-5</v>
      </c>
      <c r="H3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O-5</v>
      </c>
      <c r="I355" s="17" t="str">
        <f>SUBSTITUTE(SUBSTITUTE(SUBSTITUTE(StatusBranchGrade[[#This Row],[Status]] &amp; "  /  " &amp; StatusBranchGrade[[#This Row],[Branch]] &amp; ";", "  /  ;", ";"), "  /  ;", ";"), ";", "")</f>
        <v>Full-time Nat'l Guard  /  Air Force</v>
      </c>
      <c r="J355">
        <v>12</v>
      </c>
      <c r="K355" s="17" t="str">
        <f>IF(LEFT(StatusBranchGrade[[#This Row],[Which]], 1) = "1", StatusBranchGrade[[#This Row],[Key]], "")</f>
        <v>Full-time Nat'l Guard  /  Air Force  /  O-5</v>
      </c>
      <c r="L355" s="17" t="str">
        <f>IF(LEFT(StatusBranchGrade[[#This Row],[Which]], 1) = "1", StatusBranchGrade[[#This Row],[Key0]], "")</f>
        <v>Full-time Nat'l Guard  /  Air Force</v>
      </c>
      <c r="M355" s="17" t="str">
        <f>IF(RIGHT(StatusBranchGrade[[#This Row],[Which]], 1) = "2", StatusBranchGrade[[#This Row],[Key]], "")</f>
        <v>Full-time Nat'l Guard  /  Air Force  /  O-5</v>
      </c>
      <c r="N355" s="17" t="str">
        <f>IF(RIGHT(StatusBranchGrade[[#This Row],[Which]], 1) = "2", StatusBranchGrade[[#This Row],[Key0]], "")</f>
        <v>Full-time Nat'l Guard  /  Air Force</v>
      </c>
      <c r="O355" s="17" t="s">
        <v>301</v>
      </c>
      <c r="P355" s="17"/>
      <c r="Q355" s="63">
        <f>--ISNUMBER(IF(StatusBranchGrade[[#This Row],[Sponsor0]] = 'Calculation Worksheet'!$AV$6 &amp; "  /  " &amp; 'Calculation Worksheet'!$AV$7, 1, ""))</f>
        <v>0</v>
      </c>
      <c r="R355" s="63" t="str">
        <f>IF(StatusBranchGrade[[#This Row],[S1]] = 1, COUNTIF($Q$3:Q355, 1), "")</f>
        <v/>
      </c>
      <c r="S355" s="63" t="str">
        <f>IFERROR(INDEX(StatusBranchGrade[Rank/Grade], MATCH(ROWS($R$3:R355)-1, StatusBranchGrade[S2], 0)), "") &amp; ""</f>
        <v/>
      </c>
      <c r="T355" s="63">
        <f>--ISNUMBER(IF(StatusBranchGrade[[#This Row],[Spouse0]] = 'Calculation Worksheet'!$CG$6 &amp; "  /  " &amp; 'Calculation Worksheet'!$CG$7, 1, ""))</f>
        <v>0</v>
      </c>
      <c r="U355" s="63" t="str">
        <f>IF(StatusBranchGrade[[#This Row],[T1]] = 1, COUNTIF($T$3:T355, 1), "")</f>
        <v/>
      </c>
      <c r="V355" s="63" t="str">
        <f>IFERROR(INDEX(StatusBranchGrade[Rank/Grade], MATCH(ROWS($U$3:U355)-1, StatusBranchGrade[T2], 0)), "") &amp; ""</f>
        <v/>
      </c>
      <c r="W355" s="63"/>
    </row>
    <row r="356" spans="1:23" x14ac:dyDescent="0.25">
      <c r="A356">
        <v>6</v>
      </c>
      <c r="B356" t="s">
        <v>390</v>
      </c>
      <c r="C356" t="s">
        <v>183</v>
      </c>
      <c r="D356" t="s">
        <v>86</v>
      </c>
      <c r="E356" t="str">
        <f>IF(StatusBranchGrade[[#This Row],[Status]] = "CYS", "DoD", StatusBranchGrade[[#This Row],[Rank]] &amp; "")</f>
        <v>O-6</v>
      </c>
      <c r="F356" t="s">
        <v>86</v>
      </c>
      <c r="G356" t="str">
        <f>IF(StatusBranchGrade[[#This Row],[Rank]] = StatusBranchGrade[[#This Row],[Grade]], StatusBranchGrade[[#This Row],[Rank]], StatusBranchGrade[[#This Row],[Grade]] &amp; "/" &amp; StatusBranchGrade[[#This Row],[Rank]]) &amp; ""</f>
        <v>O-6</v>
      </c>
      <c r="H3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O-6</v>
      </c>
      <c r="I356" s="17" t="str">
        <f>SUBSTITUTE(SUBSTITUTE(SUBSTITUTE(StatusBranchGrade[[#This Row],[Status]] &amp; "  /  " &amp; StatusBranchGrade[[#This Row],[Branch]] &amp; ";", "  /  ;", ";"), "  /  ;", ";"), ";", "")</f>
        <v>Full-time Nat'l Guard  /  Air Force</v>
      </c>
      <c r="J356">
        <v>12</v>
      </c>
      <c r="K356" s="17" t="str">
        <f>IF(LEFT(StatusBranchGrade[[#This Row],[Which]], 1) = "1", StatusBranchGrade[[#This Row],[Key]], "")</f>
        <v>Full-time Nat'l Guard  /  Air Force  /  O-6</v>
      </c>
      <c r="L356" s="17" t="str">
        <f>IF(LEFT(StatusBranchGrade[[#This Row],[Which]], 1) = "1", StatusBranchGrade[[#This Row],[Key0]], "")</f>
        <v>Full-time Nat'l Guard  /  Air Force</v>
      </c>
      <c r="M356" s="17" t="str">
        <f>IF(RIGHT(StatusBranchGrade[[#This Row],[Which]], 1) = "2", StatusBranchGrade[[#This Row],[Key]], "")</f>
        <v>Full-time Nat'l Guard  /  Air Force  /  O-6</v>
      </c>
      <c r="N356" s="17" t="str">
        <f>IF(RIGHT(StatusBranchGrade[[#This Row],[Which]], 1) = "2", StatusBranchGrade[[#This Row],[Key0]], "")</f>
        <v>Full-time Nat'l Guard  /  Air Force</v>
      </c>
      <c r="O356" s="17" t="s">
        <v>301</v>
      </c>
      <c r="P356" s="17"/>
      <c r="Q356" s="63">
        <f>--ISNUMBER(IF(StatusBranchGrade[[#This Row],[Sponsor0]] = 'Calculation Worksheet'!$AV$6 &amp; "  /  " &amp; 'Calculation Worksheet'!$AV$7, 1, ""))</f>
        <v>0</v>
      </c>
      <c r="R356" s="63" t="str">
        <f>IF(StatusBranchGrade[[#This Row],[S1]] = 1, COUNTIF($Q$3:Q356, 1), "")</f>
        <v/>
      </c>
      <c r="S356" s="63" t="str">
        <f>IFERROR(INDEX(StatusBranchGrade[Rank/Grade], MATCH(ROWS($R$3:R356)-1, StatusBranchGrade[S2], 0)), "") &amp; ""</f>
        <v/>
      </c>
      <c r="T356" s="63">
        <f>--ISNUMBER(IF(StatusBranchGrade[[#This Row],[Spouse0]] = 'Calculation Worksheet'!$CG$6 &amp; "  /  " &amp; 'Calculation Worksheet'!$CG$7, 1, ""))</f>
        <v>0</v>
      </c>
      <c r="U356" s="63" t="str">
        <f>IF(StatusBranchGrade[[#This Row],[T1]] = 1, COUNTIF($T$3:T356, 1), "")</f>
        <v/>
      </c>
      <c r="V356" s="63" t="str">
        <f>IFERROR(INDEX(StatusBranchGrade[Rank/Grade], MATCH(ROWS($U$3:U356)-1, StatusBranchGrade[T2], 0)), "") &amp; ""</f>
        <v/>
      </c>
      <c r="W356" s="63"/>
    </row>
    <row r="357" spans="1:23" x14ac:dyDescent="0.25">
      <c r="A357">
        <v>6</v>
      </c>
      <c r="B357" t="s">
        <v>390</v>
      </c>
      <c r="C357" t="s">
        <v>183</v>
      </c>
      <c r="D357" t="s">
        <v>85</v>
      </c>
      <c r="E357" t="str">
        <f>IF(StatusBranchGrade[[#This Row],[Status]] = "CYS", "DoD", StatusBranchGrade[[#This Row],[Rank]] &amp; "")</f>
        <v>O-7</v>
      </c>
      <c r="F357" t="s">
        <v>85</v>
      </c>
      <c r="G357" t="str">
        <f>IF(StatusBranchGrade[[#This Row],[Rank]] = StatusBranchGrade[[#This Row],[Grade]], StatusBranchGrade[[#This Row],[Rank]], StatusBranchGrade[[#This Row],[Grade]] &amp; "/" &amp; StatusBranchGrade[[#This Row],[Rank]]) &amp; ""</f>
        <v>O-7</v>
      </c>
      <c r="H3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O-7</v>
      </c>
      <c r="I357" s="17" t="str">
        <f>SUBSTITUTE(SUBSTITUTE(SUBSTITUTE(StatusBranchGrade[[#This Row],[Status]] &amp; "  /  " &amp; StatusBranchGrade[[#This Row],[Branch]] &amp; ";", "  /  ;", ";"), "  /  ;", ";"), ";", "")</f>
        <v>Full-time Nat'l Guard  /  Air Force</v>
      </c>
      <c r="J357">
        <v>12</v>
      </c>
      <c r="K357" s="17" t="str">
        <f>IF(LEFT(StatusBranchGrade[[#This Row],[Which]], 1) = "1", StatusBranchGrade[[#This Row],[Key]], "")</f>
        <v>Full-time Nat'l Guard  /  Air Force  /  O-7</v>
      </c>
      <c r="L357" s="17" t="str">
        <f>IF(LEFT(StatusBranchGrade[[#This Row],[Which]], 1) = "1", StatusBranchGrade[[#This Row],[Key0]], "")</f>
        <v>Full-time Nat'l Guard  /  Air Force</v>
      </c>
      <c r="M357" s="17" t="str">
        <f>IF(RIGHT(StatusBranchGrade[[#This Row],[Which]], 1) = "2", StatusBranchGrade[[#This Row],[Key]], "")</f>
        <v>Full-time Nat'l Guard  /  Air Force  /  O-7</v>
      </c>
      <c r="N357" s="17" t="str">
        <f>IF(RIGHT(StatusBranchGrade[[#This Row],[Which]], 1) = "2", StatusBranchGrade[[#This Row],[Key0]], "")</f>
        <v>Full-time Nat'l Guard  /  Air Force</v>
      </c>
      <c r="O357" s="17" t="s">
        <v>301</v>
      </c>
      <c r="P357" s="17"/>
      <c r="Q357" s="63">
        <f>--ISNUMBER(IF(StatusBranchGrade[[#This Row],[Sponsor0]] = 'Calculation Worksheet'!$AV$6 &amp; "  /  " &amp; 'Calculation Worksheet'!$AV$7, 1, ""))</f>
        <v>0</v>
      </c>
      <c r="R357" s="63" t="str">
        <f>IF(StatusBranchGrade[[#This Row],[S1]] = 1, COUNTIF($Q$3:Q357, 1), "")</f>
        <v/>
      </c>
      <c r="S357" s="63" t="str">
        <f>IFERROR(INDEX(StatusBranchGrade[Rank/Grade], MATCH(ROWS($R$3:R357)-1, StatusBranchGrade[S2], 0)), "") &amp; ""</f>
        <v/>
      </c>
      <c r="T357" s="63">
        <f>--ISNUMBER(IF(StatusBranchGrade[[#This Row],[Spouse0]] = 'Calculation Worksheet'!$CG$6 &amp; "  /  " &amp; 'Calculation Worksheet'!$CG$7, 1, ""))</f>
        <v>0</v>
      </c>
      <c r="U357" s="63" t="str">
        <f>IF(StatusBranchGrade[[#This Row],[T1]] = 1, COUNTIF($T$3:T357, 1), "")</f>
        <v/>
      </c>
      <c r="V357" s="63" t="str">
        <f>IFERROR(INDEX(StatusBranchGrade[Rank/Grade], MATCH(ROWS($U$3:U357)-1, StatusBranchGrade[T2], 0)), "") &amp; ""</f>
        <v/>
      </c>
      <c r="W357" s="63"/>
    </row>
    <row r="358" spans="1:23" x14ac:dyDescent="0.25">
      <c r="A358">
        <v>6</v>
      </c>
      <c r="B358" t="s">
        <v>390</v>
      </c>
      <c r="C358" t="s">
        <v>183</v>
      </c>
      <c r="D358" t="s">
        <v>84</v>
      </c>
      <c r="E358" t="str">
        <f>IF(StatusBranchGrade[[#This Row],[Status]] = "CYS", "DoD", StatusBranchGrade[[#This Row],[Rank]] &amp; "")</f>
        <v>O-8</v>
      </c>
      <c r="F358" t="s">
        <v>84</v>
      </c>
      <c r="G358" t="str">
        <f>IF(StatusBranchGrade[[#This Row],[Rank]] = StatusBranchGrade[[#This Row],[Grade]], StatusBranchGrade[[#This Row],[Rank]], StatusBranchGrade[[#This Row],[Grade]] &amp; "/" &amp; StatusBranchGrade[[#This Row],[Rank]]) &amp; ""</f>
        <v>O-8</v>
      </c>
      <c r="H3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O-8</v>
      </c>
      <c r="I358" s="17" t="str">
        <f>SUBSTITUTE(SUBSTITUTE(SUBSTITUTE(StatusBranchGrade[[#This Row],[Status]] &amp; "  /  " &amp; StatusBranchGrade[[#This Row],[Branch]] &amp; ";", "  /  ;", ";"), "  /  ;", ";"), ";", "")</f>
        <v>Full-time Nat'l Guard  /  Air Force</v>
      </c>
      <c r="J358">
        <v>12</v>
      </c>
      <c r="K358" s="17" t="str">
        <f>IF(LEFT(StatusBranchGrade[[#This Row],[Which]], 1) = "1", StatusBranchGrade[[#This Row],[Key]], "")</f>
        <v>Full-time Nat'l Guard  /  Air Force  /  O-8</v>
      </c>
      <c r="L358" s="17" t="str">
        <f>IF(LEFT(StatusBranchGrade[[#This Row],[Which]], 1) = "1", StatusBranchGrade[[#This Row],[Key0]], "")</f>
        <v>Full-time Nat'l Guard  /  Air Force</v>
      </c>
      <c r="M358" s="17" t="str">
        <f>IF(RIGHT(StatusBranchGrade[[#This Row],[Which]], 1) = "2", StatusBranchGrade[[#This Row],[Key]], "")</f>
        <v>Full-time Nat'l Guard  /  Air Force  /  O-8</v>
      </c>
      <c r="N358" s="17" t="str">
        <f>IF(RIGHT(StatusBranchGrade[[#This Row],[Which]], 1) = "2", StatusBranchGrade[[#This Row],[Key0]], "")</f>
        <v>Full-time Nat'l Guard  /  Air Force</v>
      </c>
      <c r="O358" s="17" t="s">
        <v>301</v>
      </c>
      <c r="P358" s="17"/>
      <c r="Q358" s="63">
        <f>--ISNUMBER(IF(StatusBranchGrade[[#This Row],[Sponsor0]] = 'Calculation Worksheet'!$AV$6 &amp; "  /  " &amp; 'Calculation Worksheet'!$AV$7, 1, ""))</f>
        <v>0</v>
      </c>
      <c r="R358" s="63" t="str">
        <f>IF(StatusBranchGrade[[#This Row],[S1]] = 1, COUNTIF($Q$3:Q358, 1), "")</f>
        <v/>
      </c>
      <c r="S358" s="63" t="str">
        <f>IFERROR(INDEX(StatusBranchGrade[Rank/Grade], MATCH(ROWS($R$3:R358)-1, StatusBranchGrade[S2], 0)), "") &amp; ""</f>
        <v/>
      </c>
      <c r="T358" s="63">
        <f>--ISNUMBER(IF(StatusBranchGrade[[#This Row],[Spouse0]] = 'Calculation Worksheet'!$CG$6 &amp; "  /  " &amp; 'Calculation Worksheet'!$CG$7, 1, ""))</f>
        <v>0</v>
      </c>
      <c r="U358" s="63" t="str">
        <f>IF(StatusBranchGrade[[#This Row],[T1]] = 1, COUNTIF($T$3:T358, 1), "")</f>
        <v/>
      </c>
      <c r="V358" s="63" t="str">
        <f>IFERROR(INDEX(StatusBranchGrade[Rank/Grade], MATCH(ROWS($U$3:U358)-1, StatusBranchGrade[T2], 0)), "") &amp; ""</f>
        <v/>
      </c>
      <c r="W358" s="63"/>
    </row>
    <row r="359" spans="1:23" x14ac:dyDescent="0.25">
      <c r="A359">
        <v>6</v>
      </c>
      <c r="B359" t="s">
        <v>390</v>
      </c>
      <c r="C359" t="s">
        <v>183</v>
      </c>
      <c r="D359" t="s">
        <v>83</v>
      </c>
      <c r="E359" t="str">
        <f>IF(StatusBranchGrade[[#This Row],[Status]] = "CYS", "DoD", StatusBranchGrade[[#This Row],[Rank]] &amp; "")</f>
        <v>O-9</v>
      </c>
      <c r="F359" t="s">
        <v>83</v>
      </c>
      <c r="G359" t="str">
        <f>IF(StatusBranchGrade[[#This Row],[Rank]] = StatusBranchGrade[[#This Row],[Grade]], StatusBranchGrade[[#This Row],[Rank]], StatusBranchGrade[[#This Row],[Grade]] &amp; "/" &amp; StatusBranchGrade[[#This Row],[Rank]]) &amp; ""</f>
        <v>O-9</v>
      </c>
      <c r="H3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O-9</v>
      </c>
      <c r="I359" s="17" t="str">
        <f>SUBSTITUTE(SUBSTITUTE(SUBSTITUTE(StatusBranchGrade[[#This Row],[Status]] &amp; "  /  " &amp; StatusBranchGrade[[#This Row],[Branch]] &amp; ";", "  /  ;", ";"), "  /  ;", ";"), ";", "")</f>
        <v>Full-time Nat'l Guard  /  Air Force</v>
      </c>
      <c r="J359">
        <v>12</v>
      </c>
      <c r="K359" s="17" t="str">
        <f>IF(LEFT(StatusBranchGrade[[#This Row],[Which]], 1) = "1", StatusBranchGrade[[#This Row],[Key]], "")</f>
        <v>Full-time Nat'l Guard  /  Air Force  /  O-9</v>
      </c>
      <c r="L359" s="17" t="str">
        <f>IF(LEFT(StatusBranchGrade[[#This Row],[Which]], 1) = "1", StatusBranchGrade[[#This Row],[Key0]], "")</f>
        <v>Full-time Nat'l Guard  /  Air Force</v>
      </c>
      <c r="M359" s="17" t="str">
        <f>IF(RIGHT(StatusBranchGrade[[#This Row],[Which]], 1) = "2", StatusBranchGrade[[#This Row],[Key]], "")</f>
        <v>Full-time Nat'l Guard  /  Air Force  /  O-9</v>
      </c>
      <c r="N359" s="17" t="str">
        <f>IF(RIGHT(StatusBranchGrade[[#This Row],[Which]], 1) = "2", StatusBranchGrade[[#This Row],[Key0]], "")</f>
        <v>Full-time Nat'l Guard  /  Air Force</v>
      </c>
      <c r="O359" s="17" t="s">
        <v>301</v>
      </c>
      <c r="P359" s="17"/>
      <c r="Q359" s="63">
        <f>--ISNUMBER(IF(StatusBranchGrade[[#This Row],[Sponsor0]] = 'Calculation Worksheet'!$AV$6 &amp; "  /  " &amp; 'Calculation Worksheet'!$AV$7, 1, ""))</f>
        <v>0</v>
      </c>
      <c r="R359" s="63" t="str">
        <f>IF(StatusBranchGrade[[#This Row],[S1]] = 1, COUNTIF($Q$3:Q359, 1), "")</f>
        <v/>
      </c>
      <c r="S359" s="63" t="str">
        <f>IFERROR(INDEX(StatusBranchGrade[Rank/Grade], MATCH(ROWS($R$3:R359)-1, StatusBranchGrade[S2], 0)), "") &amp; ""</f>
        <v/>
      </c>
      <c r="T359" s="63">
        <f>--ISNUMBER(IF(StatusBranchGrade[[#This Row],[Spouse0]] = 'Calculation Worksheet'!$CG$6 &amp; "  /  " &amp; 'Calculation Worksheet'!$CG$7, 1, ""))</f>
        <v>0</v>
      </c>
      <c r="U359" s="63" t="str">
        <f>IF(StatusBranchGrade[[#This Row],[T1]] = 1, COUNTIF($T$3:T359, 1), "")</f>
        <v/>
      </c>
      <c r="V359" s="63" t="str">
        <f>IFERROR(INDEX(StatusBranchGrade[Rank/Grade], MATCH(ROWS($U$3:U359)-1, StatusBranchGrade[T2], 0)), "") &amp; ""</f>
        <v/>
      </c>
      <c r="W359" s="63"/>
    </row>
    <row r="360" spans="1:23" x14ac:dyDescent="0.25">
      <c r="A360">
        <v>6</v>
      </c>
      <c r="B360" t="s">
        <v>390</v>
      </c>
      <c r="C360" t="s">
        <v>183</v>
      </c>
      <c r="D360" t="s">
        <v>96</v>
      </c>
      <c r="E360" t="str">
        <f>IF(StatusBranchGrade[[#This Row],[Status]] = "CYS", "DoD", StatusBranchGrade[[#This Row],[Rank]] &amp; "")</f>
        <v>W-1</v>
      </c>
      <c r="F360" t="s">
        <v>96</v>
      </c>
      <c r="G360" t="str">
        <f>IF(StatusBranchGrade[[#This Row],[Rank]] = StatusBranchGrade[[#This Row],[Grade]], StatusBranchGrade[[#This Row],[Rank]], StatusBranchGrade[[#This Row],[Grade]] &amp; "/" &amp; StatusBranchGrade[[#This Row],[Rank]]) &amp; ""</f>
        <v>W-1</v>
      </c>
      <c r="H3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W-1</v>
      </c>
      <c r="I360" s="17" t="str">
        <f>SUBSTITUTE(SUBSTITUTE(SUBSTITUTE(StatusBranchGrade[[#This Row],[Status]] &amp; "  /  " &amp; StatusBranchGrade[[#This Row],[Branch]] &amp; ";", "  /  ;", ";"), "  /  ;", ";"), ";", "")</f>
        <v>Full-time Nat'l Guard  /  Air Force</v>
      </c>
      <c r="J360">
        <v>12</v>
      </c>
      <c r="K360" s="17" t="str">
        <f>IF(LEFT(StatusBranchGrade[[#This Row],[Which]], 1) = "1", StatusBranchGrade[[#This Row],[Key]], "")</f>
        <v>Full-time Nat'l Guard  /  Air Force  /  W-1</v>
      </c>
      <c r="L360" s="17" t="str">
        <f>IF(LEFT(StatusBranchGrade[[#This Row],[Which]], 1) = "1", StatusBranchGrade[[#This Row],[Key0]], "")</f>
        <v>Full-time Nat'l Guard  /  Air Force</v>
      </c>
      <c r="M360" s="17" t="str">
        <f>IF(RIGHT(StatusBranchGrade[[#This Row],[Which]], 1) = "2", StatusBranchGrade[[#This Row],[Key]], "")</f>
        <v>Full-time Nat'l Guard  /  Air Force  /  W-1</v>
      </c>
      <c r="N360" s="17" t="str">
        <f>IF(RIGHT(StatusBranchGrade[[#This Row],[Which]], 1) = "2", StatusBranchGrade[[#This Row],[Key0]], "")</f>
        <v>Full-time Nat'l Guard  /  Air Force</v>
      </c>
      <c r="O360" s="17" t="s">
        <v>301</v>
      </c>
      <c r="P360" s="17"/>
      <c r="Q360" s="63">
        <f>--ISNUMBER(IF(StatusBranchGrade[[#This Row],[Sponsor0]] = 'Calculation Worksheet'!$AV$6 &amp; "  /  " &amp; 'Calculation Worksheet'!$AV$7, 1, ""))</f>
        <v>0</v>
      </c>
      <c r="R360" s="63" t="str">
        <f>IF(StatusBranchGrade[[#This Row],[S1]] = 1, COUNTIF($Q$3:Q360, 1), "")</f>
        <v/>
      </c>
      <c r="S360" s="63" t="str">
        <f>IFERROR(INDEX(StatusBranchGrade[Rank/Grade], MATCH(ROWS($R$3:R360)-1, StatusBranchGrade[S2], 0)), "") &amp; ""</f>
        <v/>
      </c>
      <c r="T360" s="63">
        <f>--ISNUMBER(IF(StatusBranchGrade[[#This Row],[Spouse0]] = 'Calculation Worksheet'!$CG$6 &amp; "  /  " &amp; 'Calculation Worksheet'!$CG$7, 1, ""))</f>
        <v>0</v>
      </c>
      <c r="U360" s="63" t="str">
        <f>IF(StatusBranchGrade[[#This Row],[T1]] = 1, COUNTIF($T$3:T360, 1), "")</f>
        <v/>
      </c>
      <c r="V360" s="63" t="str">
        <f>IFERROR(INDEX(StatusBranchGrade[Rank/Grade], MATCH(ROWS($U$3:U360)-1, StatusBranchGrade[T2], 0)), "") &amp; ""</f>
        <v/>
      </c>
      <c r="W360" s="63"/>
    </row>
    <row r="361" spans="1:23" x14ac:dyDescent="0.25">
      <c r="A361">
        <v>6</v>
      </c>
      <c r="B361" t="s">
        <v>390</v>
      </c>
      <c r="C361" t="s">
        <v>183</v>
      </c>
      <c r="D361" t="s">
        <v>95</v>
      </c>
      <c r="E361" t="str">
        <f>IF(StatusBranchGrade[[#This Row],[Status]] = "CYS", "DoD", StatusBranchGrade[[#This Row],[Rank]] &amp; "")</f>
        <v>W-2</v>
      </c>
      <c r="F361" t="s">
        <v>95</v>
      </c>
      <c r="G361" t="str">
        <f>IF(StatusBranchGrade[[#This Row],[Rank]] = StatusBranchGrade[[#This Row],[Grade]], StatusBranchGrade[[#This Row],[Rank]], StatusBranchGrade[[#This Row],[Grade]] &amp; "/" &amp; StatusBranchGrade[[#This Row],[Rank]]) &amp; ""</f>
        <v>W-2</v>
      </c>
      <c r="H3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W-2</v>
      </c>
      <c r="I361" s="17" t="str">
        <f>SUBSTITUTE(SUBSTITUTE(SUBSTITUTE(StatusBranchGrade[[#This Row],[Status]] &amp; "  /  " &amp; StatusBranchGrade[[#This Row],[Branch]] &amp; ";", "  /  ;", ";"), "  /  ;", ";"), ";", "")</f>
        <v>Full-time Nat'l Guard  /  Air Force</v>
      </c>
      <c r="J361">
        <v>12</v>
      </c>
      <c r="K361" s="17" t="str">
        <f>IF(LEFT(StatusBranchGrade[[#This Row],[Which]], 1) = "1", StatusBranchGrade[[#This Row],[Key]], "")</f>
        <v>Full-time Nat'l Guard  /  Air Force  /  W-2</v>
      </c>
      <c r="L361" s="17" t="str">
        <f>IF(LEFT(StatusBranchGrade[[#This Row],[Which]], 1) = "1", StatusBranchGrade[[#This Row],[Key0]], "")</f>
        <v>Full-time Nat'l Guard  /  Air Force</v>
      </c>
      <c r="M361" s="17" t="str">
        <f>IF(RIGHT(StatusBranchGrade[[#This Row],[Which]], 1) = "2", StatusBranchGrade[[#This Row],[Key]], "")</f>
        <v>Full-time Nat'l Guard  /  Air Force  /  W-2</v>
      </c>
      <c r="N361" s="17" t="str">
        <f>IF(RIGHT(StatusBranchGrade[[#This Row],[Which]], 1) = "2", StatusBranchGrade[[#This Row],[Key0]], "")</f>
        <v>Full-time Nat'l Guard  /  Air Force</v>
      </c>
      <c r="O361" s="17" t="s">
        <v>301</v>
      </c>
      <c r="P361" s="17"/>
      <c r="Q361" s="63">
        <f>--ISNUMBER(IF(StatusBranchGrade[[#This Row],[Sponsor0]] = 'Calculation Worksheet'!$AV$6 &amp; "  /  " &amp; 'Calculation Worksheet'!$AV$7, 1, ""))</f>
        <v>0</v>
      </c>
      <c r="R361" s="63" t="str">
        <f>IF(StatusBranchGrade[[#This Row],[S1]] = 1, COUNTIF($Q$3:Q361, 1), "")</f>
        <v/>
      </c>
      <c r="S361" s="63" t="str">
        <f>IFERROR(INDEX(StatusBranchGrade[Rank/Grade], MATCH(ROWS($R$3:R361)-1, StatusBranchGrade[S2], 0)), "") &amp; ""</f>
        <v/>
      </c>
      <c r="T361" s="63">
        <f>--ISNUMBER(IF(StatusBranchGrade[[#This Row],[Spouse0]] = 'Calculation Worksheet'!$CG$6 &amp; "  /  " &amp; 'Calculation Worksheet'!$CG$7, 1, ""))</f>
        <v>0</v>
      </c>
      <c r="U361" s="63" t="str">
        <f>IF(StatusBranchGrade[[#This Row],[T1]] = 1, COUNTIF($T$3:T361, 1), "")</f>
        <v/>
      </c>
      <c r="V361" s="63" t="str">
        <f>IFERROR(INDEX(StatusBranchGrade[Rank/Grade], MATCH(ROWS($U$3:U361)-1, StatusBranchGrade[T2], 0)), "") &amp; ""</f>
        <v/>
      </c>
      <c r="W361" s="63"/>
    </row>
    <row r="362" spans="1:23" x14ac:dyDescent="0.25">
      <c r="A362">
        <v>6</v>
      </c>
      <c r="B362" t="s">
        <v>390</v>
      </c>
      <c r="C362" t="s">
        <v>183</v>
      </c>
      <c r="D362" t="s">
        <v>94</v>
      </c>
      <c r="E362" t="str">
        <f>IF(StatusBranchGrade[[#This Row],[Status]] = "CYS", "DoD", StatusBranchGrade[[#This Row],[Rank]] &amp; "")</f>
        <v>W-3</v>
      </c>
      <c r="F362" t="s">
        <v>94</v>
      </c>
      <c r="G362" t="str">
        <f>IF(StatusBranchGrade[[#This Row],[Rank]] = StatusBranchGrade[[#This Row],[Grade]], StatusBranchGrade[[#This Row],[Rank]], StatusBranchGrade[[#This Row],[Grade]] &amp; "/" &amp; StatusBranchGrade[[#This Row],[Rank]]) &amp; ""</f>
        <v>W-3</v>
      </c>
      <c r="H3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W-3</v>
      </c>
      <c r="I362" s="17" t="str">
        <f>SUBSTITUTE(SUBSTITUTE(SUBSTITUTE(StatusBranchGrade[[#This Row],[Status]] &amp; "  /  " &amp; StatusBranchGrade[[#This Row],[Branch]] &amp; ";", "  /  ;", ";"), "  /  ;", ";"), ";", "")</f>
        <v>Full-time Nat'l Guard  /  Air Force</v>
      </c>
      <c r="J362">
        <v>12</v>
      </c>
      <c r="K362" s="17" t="str">
        <f>IF(LEFT(StatusBranchGrade[[#This Row],[Which]], 1) = "1", StatusBranchGrade[[#This Row],[Key]], "")</f>
        <v>Full-time Nat'l Guard  /  Air Force  /  W-3</v>
      </c>
      <c r="L362" s="17" t="str">
        <f>IF(LEFT(StatusBranchGrade[[#This Row],[Which]], 1) = "1", StatusBranchGrade[[#This Row],[Key0]], "")</f>
        <v>Full-time Nat'l Guard  /  Air Force</v>
      </c>
      <c r="M362" s="17" t="str">
        <f>IF(RIGHT(StatusBranchGrade[[#This Row],[Which]], 1) = "2", StatusBranchGrade[[#This Row],[Key]], "")</f>
        <v>Full-time Nat'l Guard  /  Air Force  /  W-3</v>
      </c>
      <c r="N362" s="17" t="str">
        <f>IF(RIGHT(StatusBranchGrade[[#This Row],[Which]], 1) = "2", StatusBranchGrade[[#This Row],[Key0]], "")</f>
        <v>Full-time Nat'l Guard  /  Air Force</v>
      </c>
      <c r="O362" s="17" t="s">
        <v>301</v>
      </c>
      <c r="P362" s="17"/>
      <c r="Q362" s="63">
        <f>--ISNUMBER(IF(StatusBranchGrade[[#This Row],[Sponsor0]] = 'Calculation Worksheet'!$AV$6 &amp; "  /  " &amp; 'Calculation Worksheet'!$AV$7, 1, ""))</f>
        <v>0</v>
      </c>
      <c r="R362" s="63" t="str">
        <f>IF(StatusBranchGrade[[#This Row],[S1]] = 1, COUNTIF($Q$3:Q362, 1), "")</f>
        <v/>
      </c>
      <c r="S362" s="63" t="str">
        <f>IFERROR(INDEX(StatusBranchGrade[Rank/Grade], MATCH(ROWS($R$3:R362)-1, StatusBranchGrade[S2], 0)), "") &amp; ""</f>
        <v/>
      </c>
      <c r="T362" s="63">
        <f>--ISNUMBER(IF(StatusBranchGrade[[#This Row],[Spouse0]] = 'Calculation Worksheet'!$CG$6 &amp; "  /  " &amp; 'Calculation Worksheet'!$CG$7, 1, ""))</f>
        <v>0</v>
      </c>
      <c r="U362" s="63" t="str">
        <f>IF(StatusBranchGrade[[#This Row],[T1]] = 1, COUNTIF($T$3:T362, 1), "")</f>
        <v/>
      </c>
      <c r="V362" s="63" t="str">
        <f>IFERROR(INDEX(StatusBranchGrade[Rank/Grade], MATCH(ROWS($U$3:U362)-1, StatusBranchGrade[T2], 0)), "") &amp; ""</f>
        <v/>
      </c>
      <c r="W362" s="63"/>
    </row>
    <row r="363" spans="1:23" x14ac:dyDescent="0.25">
      <c r="A363">
        <v>6</v>
      </c>
      <c r="B363" t="s">
        <v>390</v>
      </c>
      <c r="C363" t="s">
        <v>183</v>
      </c>
      <c r="D363" t="s">
        <v>93</v>
      </c>
      <c r="E363" t="str">
        <f>IF(StatusBranchGrade[[#This Row],[Status]] = "CYS", "DoD", StatusBranchGrade[[#This Row],[Rank]] &amp; "")</f>
        <v>W-4</v>
      </c>
      <c r="F363" t="s">
        <v>93</v>
      </c>
      <c r="G363" t="str">
        <f>IF(StatusBranchGrade[[#This Row],[Rank]] = StatusBranchGrade[[#This Row],[Grade]], StatusBranchGrade[[#This Row],[Rank]], StatusBranchGrade[[#This Row],[Grade]] &amp; "/" &amp; StatusBranchGrade[[#This Row],[Rank]]) &amp; ""</f>
        <v>W-4</v>
      </c>
      <c r="H3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Air Force  /  W-4</v>
      </c>
      <c r="I363" s="17" t="str">
        <f>SUBSTITUTE(SUBSTITUTE(SUBSTITUTE(StatusBranchGrade[[#This Row],[Status]] &amp; "  /  " &amp; StatusBranchGrade[[#This Row],[Branch]] &amp; ";", "  /  ;", ";"), "  /  ;", ";"), ";", "")</f>
        <v>Full-time Nat'l Guard  /  Air Force</v>
      </c>
      <c r="J363">
        <v>12</v>
      </c>
      <c r="K363" s="17" t="str">
        <f>IF(LEFT(StatusBranchGrade[[#This Row],[Which]], 1) = "1", StatusBranchGrade[[#This Row],[Key]], "")</f>
        <v>Full-time Nat'l Guard  /  Air Force  /  W-4</v>
      </c>
      <c r="L363" s="17" t="str">
        <f>IF(LEFT(StatusBranchGrade[[#This Row],[Which]], 1) = "1", StatusBranchGrade[[#This Row],[Key0]], "")</f>
        <v>Full-time Nat'l Guard  /  Air Force</v>
      </c>
      <c r="M363" s="17" t="str">
        <f>IF(RIGHT(StatusBranchGrade[[#This Row],[Which]], 1) = "2", StatusBranchGrade[[#This Row],[Key]], "")</f>
        <v>Full-time Nat'l Guard  /  Air Force  /  W-4</v>
      </c>
      <c r="N363" s="17" t="str">
        <f>IF(RIGHT(StatusBranchGrade[[#This Row],[Which]], 1) = "2", StatusBranchGrade[[#This Row],[Key0]], "")</f>
        <v>Full-time Nat'l Guard  /  Air Force</v>
      </c>
      <c r="O363" s="17" t="s">
        <v>301</v>
      </c>
      <c r="P363" s="17"/>
      <c r="Q363" s="63">
        <f>--ISNUMBER(IF(StatusBranchGrade[[#This Row],[Sponsor0]] = 'Calculation Worksheet'!$AV$6 &amp; "  /  " &amp; 'Calculation Worksheet'!$AV$7, 1, ""))</f>
        <v>0</v>
      </c>
      <c r="R363" s="63" t="str">
        <f>IF(StatusBranchGrade[[#This Row],[S1]] = 1, COUNTIF($Q$3:Q363, 1), "")</f>
        <v/>
      </c>
      <c r="S363" s="63" t="str">
        <f>IFERROR(INDEX(StatusBranchGrade[Rank/Grade], MATCH(ROWS($R$3:R363)-1, StatusBranchGrade[S2], 0)), "") &amp; ""</f>
        <v/>
      </c>
      <c r="T363" s="63">
        <f>--ISNUMBER(IF(StatusBranchGrade[[#This Row],[Spouse0]] = 'Calculation Worksheet'!$CG$6 &amp; "  /  " &amp; 'Calculation Worksheet'!$CG$7, 1, ""))</f>
        <v>0</v>
      </c>
      <c r="U363" s="63" t="str">
        <f>IF(StatusBranchGrade[[#This Row],[T1]] = 1, COUNTIF($T$3:T363, 1), "")</f>
        <v/>
      </c>
      <c r="V363" s="63" t="str">
        <f>IFERROR(INDEX(StatusBranchGrade[Rank/Grade], MATCH(ROWS($U$3:U363)-1, StatusBranchGrade[T2], 0)), "") &amp; ""</f>
        <v/>
      </c>
      <c r="W363" s="63"/>
    </row>
    <row r="364" spans="1:23" x14ac:dyDescent="0.25">
      <c r="A364">
        <v>6</v>
      </c>
      <c r="B364" t="s">
        <v>390</v>
      </c>
      <c r="C364" t="s">
        <v>180</v>
      </c>
      <c r="D364" t="s">
        <v>95</v>
      </c>
      <c r="E364" t="str">
        <f>IF(StatusBranchGrade[[#This Row],[Status]] = "CYS", "DoD", StatusBranchGrade[[#This Row],[Rank]] &amp; "")</f>
        <v>W-2</v>
      </c>
      <c r="F364" t="s">
        <v>174</v>
      </c>
      <c r="G364" t="str">
        <f>IF(StatusBranchGrade[[#This Row],[Rank]] = StatusBranchGrade[[#This Row],[Grade]], StatusBranchGrade[[#This Row],[Rank]], StatusBranchGrade[[#This Row],[Grade]] &amp; "/" &amp; StatusBranchGrade[[#This Row],[Rank]]) &amp; ""</f>
        <v>CW2/W-2</v>
      </c>
      <c r="H3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CW2/W-2</v>
      </c>
      <c r="I364" s="17" t="str">
        <f>SUBSTITUTE(SUBSTITUTE(SUBSTITUTE(StatusBranchGrade[[#This Row],[Status]] &amp; "  /  " &amp; StatusBranchGrade[[#This Row],[Branch]] &amp; ";", "  /  ;", ";"), "  /  ;", ";"), ";", "")</f>
        <v>Full-time Nat'l Guard  /  Army</v>
      </c>
      <c r="J364">
        <v>12</v>
      </c>
      <c r="K364" s="17" t="str">
        <f>IF(LEFT(StatusBranchGrade[[#This Row],[Which]], 1) = "1", StatusBranchGrade[[#This Row],[Key]], "")</f>
        <v>Full-time Nat'l Guard  /  Army  /  CW2/W-2</v>
      </c>
      <c r="L364" s="17" t="str">
        <f>IF(LEFT(StatusBranchGrade[[#This Row],[Which]], 1) = "1", StatusBranchGrade[[#This Row],[Key0]], "")</f>
        <v>Full-time Nat'l Guard  /  Army</v>
      </c>
      <c r="M364" s="17" t="str">
        <f>IF(RIGHT(StatusBranchGrade[[#This Row],[Which]], 1) = "2", StatusBranchGrade[[#This Row],[Key]], "")</f>
        <v>Full-time Nat'l Guard  /  Army  /  CW2/W-2</v>
      </c>
      <c r="N364" s="17" t="str">
        <f>IF(RIGHT(StatusBranchGrade[[#This Row],[Which]], 1) = "2", StatusBranchGrade[[#This Row],[Key0]], "")</f>
        <v>Full-time Nat'l Guard  /  Army</v>
      </c>
      <c r="O364" s="17" t="s">
        <v>301</v>
      </c>
      <c r="P364" s="17"/>
      <c r="Q364" s="63">
        <f>--ISNUMBER(IF(StatusBranchGrade[[#This Row],[Sponsor0]] = 'Calculation Worksheet'!$AV$6 &amp; "  /  " &amp; 'Calculation Worksheet'!$AV$7, 1, ""))</f>
        <v>0</v>
      </c>
      <c r="R364" s="63" t="str">
        <f>IF(StatusBranchGrade[[#This Row],[S1]] = 1, COUNTIF($Q$3:Q364, 1), "")</f>
        <v/>
      </c>
      <c r="S364" s="63" t="str">
        <f>IFERROR(INDEX(StatusBranchGrade[Rank/Grade], MATCH(ROWS($R$3:R364)-1, StatusBranchGrade[S2], 0)), "") &amp; ""</f>
        <v/>
      </c>
      <c r="T364" s="63">
        <f>--ISNUMBER(IF(StatusBranchGrade[[#This Row],[Spouse0]] = 'Calculation Worksheet'!$CG$6 &amp; "  /  " &amp; 'Calculation Worksheet'!$CG$7, 1, ""))</f>
        <v>0</v>
      </c>
      <c r="U364" s="63" t="str">
        <f>IF(StatusBranchGrade[[#This Row],[T1]] = 1, COUNTIF($T$3:T364, 1), "")</f>
        <v/>
      </c>
      <c r="V364" s="63" t="str">
        <f>IFERROR(INDEX(StatusBranchGrade[Rank/Grade], MATCH(ROWS($U$3:U364)-1, StatusBranchGrade[T2], 0)), "") &amp; ""</f>
        <v/>
      </c>
      <c r="W364" s="63"/>
    </row>
    <row r="365" spans="1:23" x14ac:dyDescent="0.25">
      <c r="A365">
        <v>6</v>
      </c>
      <c r="B365" t="s">
        <v>390</v>
      </c>
      <c r="C365" t="s">
        <v>180</v>
      </c>
      <c r="D365" t="s">
        <v>94</v>
      </c>
      <c r="E365" t="str">
        <f>IF(StatusBranchGrade[[#This Row],[Status]] = "CYS", "DoD", StatusBranchGrade[[#This Row],[Rank]] &amp; "")</f>
        <v>W-3</v>
      </c>
      <c r="F365" t="s">
        <v>175</v>
      </c>
      <c r="G365" t="str">
        <f>IF(StatusBranchGrade[[#This Row],[Rank]] = StatusBranchGrade[[#This Row],[Grade]], StatusBranchGrade[[#This Row],[Rank]], StatusBranchGrade[[#This Row],[Grade]] &amp; "/" &amp; StatusBranchGrade[[#This Row],[Rank]]) &amp; ""</f>
        <v>CW3/W-3</v>
      </c>
      <c r="H3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CW3/W-3</v>
      </c>
      <c r="I365" s="17" t="str">
        <f>SUBSTITUTE(SUBSTITUTE(SUBSTITUTE(StatusBranchGrade[[#This Row],[Status]] &amp; "  /  " &amp; StatusBranchGrade[[#This Row],[Branch]] &amp; ";", "  /  ;", ";"), "  /  ;", ";"), ";", "")</f>
        <v>Full-time Nat'l Guard  /  Army</v>
      </c>
      <c r="J365">
        <v>12</v>
      </c>
      <c r="K365" s="17" t="str">
        <f>IF(LEFT(StatusBranchGrade[[#This Row],[Which]], 1) = "1", StatusBranchGrade[[#This Row],[Key]], "")</f>
        <v>Full-time Nat'l Guard  /  Army  /  CW3/W-3</v>
      </c>
      <c r="L365" s="17" t="str">
        <f>IF(LEFT(StatusBranchGrade[[#This Row],[Which]], 1) = "1", StatusBranchGrade[[#This Row],[Key0]], "")</f>
        <v>Full-time Nat'l Guard  /  Army</v>
      </c>
      <c r="M365" s="17" t="str">
        <f>IF(RIGHT(StatusBranchGrade[[#This Row],[Which]], 1) = "2", StatusBranchGrade[[#This Row],[Key]], "")</f>
        <v>Full-time Nat'l Guard  /  Army  /  CW3/W-3</v>
      </c>
      <c r="N365" s="17" t="str">
        <f>IF(RIGHT(StatusBranchGrade[[#This Row],[Which]], 1) = "2", StatusBranchGrade[[#This Row],[Key0]], "")</f>
        <v>Full-time Nat'l Guard  /  Army</v>
      </c>
      <c r="O365" s="17" t="s">
        <v>301</v>
      </c>
      <c r="P365" s="17"/>
      <c r="Q365" s="63">
        <f>--ISNUMBER(IF(StatusBranchGrade[[#This Row],[Sponsor0]] = 'Calculation Worksheet'!$AV$6 &amp; "  /  " &amp; 'Calculation Worksheet'!$AV$7, 1, ""))</f>
        <v>0</v>
      </c>
      <c r="R365" s="63" t="str">
        <f>IF(StatusBranchGrade[[#This Row],[S1]] = 1, COUNTIF($Q$3:Q365, 1), "")</f>
        <v/>
      </c>
      <c r="S365" s="63" t="str">
        <f>IFERROR(INDEX(StatusBranchGrade[Rank/Grade], MATCH(ROWS($R$3:R365)-1, StatusBranchGrade[S2], 0)), "") &amp; ""</f>
        <v/>
      </c>
      <c r="T365" s="63">
        <f>--ISNUMBER(IF(StatusBranchGrade[[#This Row],[Spouse0]] = 'Calculation Worksheet'!$CG$6 &amp; "  /  " &amp; 'Calculation Worksheet'!$CG$7, 1, ""))</f>
        <v>0</v>
      </c>
      <c r="U365" s="63" t="str">
        <f>IF(StatusBranchGrade[[#This Row],[T1]] = 1, COUNTIF($T$3:T365, 1), "")</f>
        <v/>
      </c>
      <c r="V365" s="63" t="str">
        <f>IFERROR(INDEX(StatusBranchGrade[Rank/Grade], MATCH(ROWS($U$3:U365)-1, StatusBranchGrade[T2], 0)), "") &amp; ""</f>
        <v/>
      </c>
      <c r="W365" s="63"/>
    </row>
    <row r="366" spans="1:23" x14ac:dyDescent="0.25">
      <c r="A366">
        <v>6</v>
      </c>
      <c r="B366" t="s">
        <v>390</v>
      </c>
      <c r="C366" t="s">
        <v>180</v>
      </c>
      <c r="D366" t="s">
        <v>93</v>
      </c>
      <c r="E366" t="str">
        <f>IF(StatusBranchGrade[[#This Row],[Status]] = "CYS", "DoD", StatusBranchGrade[[#This Row],[Rank]] &amp; "")</f>
        <v>W-4</v>
      </c>
      <c r="F366" t="s">
        <v>176</v>
      </c>
      <c r="G366" t="str">
        <f>IF(StatusBranchGrade[[#This Row],[Rank]] = StatusBranchGrade[[#This Row],[Grade]], StatusBranchGrade[[#This Row],[Rank]], StatusBranchGrade[[#This Row],[Grade]] &amp; "/" &amp; StatusBranchGrade[[#This Row],[Rank]]) &amp; ""</f>
        <v>CW4/W-4</v>
      </c>
      <c r="H3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CW4/W-4</v>
      </c>
      <c r="I366" s="17" t="str">
        <f>SUBSTITUTE(SUBSTITUTE(SUBSTITUTE(StatusBranchGrade[[#This Row],[Status]] &amp; "  /  " &amp; StatusBranchGrade[[#This Row],[Branch]] &amp; ";", "  /  ;", ";"), "  /  ;", ";"), ";", "")</f>
        <v>Full-time Nat'l Guard  /  Army</v>
      </c>
      <c r="J366">
        <v>12</v>
      </c>
      <c r="K366" s="17" t="str">
        <f>IF(LEFT(StatusBranchGrade[[#This Row],[Which]], 1) = "1", StatusBranchGrade[[#This Row],[Key]], "")</f>
        <v>Full-time Nat'l Guard  /  Army  /  CW4/W-4</v>
      </c>
      <c r="L366" s="17" t="str">
        <f>IF(LEFT(StatusBranchGrade[[#This Row],[Which]], 1) = "1", StatusBranchGrade[[#This Row],[Key0]], "")</f>
        <v>Full-time Nat'l Guard  /  Army</v>
      </c>
      <c r="M366" s="17" t="str">
        <f>IF(RIGHT(StatusBranchGrade[[#This Row],[Which]], 1) = "2", StatusBranchGrade[[#This Row],[Key]], "")</f>
        <v>Full-time Nat'l Guard  /  Army  /  CW4/W-4</v>
      </c>
      <c r="N366" s="17" t="str">
        <f>IF(RIGHT(StatusBranchGrade[[#This Row],[Which]], 1) = "2", StatusBranchGrade[[#This Row],[Key0]], "")</f>
        <v>Full-time Nat'l Guard  /  Army</v>
      </c>
      <c r="O366" s="17" t="s">
        <v>301</v>
      </c>
      <c r="P366" s="17"/>
      <c r="Q366" s="63">
        <f>--ISNUMBER(IF(StatusBranchGrade[[#This Row],[Sponsor0]] = 'Calculation Worksheet'!$AV$6 &amp; "  /  " &amp; 'Calculation Worksheet'!$AV$7, 1, ""))</f>
        <v>0</v>
      </c>
      <c r="R366" s="63" t="str">
        <f>IF(StatusBranchGrade[[#This Row],[S1]] = 1, COUNTIF($Q$3:Q366, 1), "")</f>
        <v/>
      </c>
      <c r="S366" s="63" t="str">
        <f>IFERROR(INDEX(StatusBranchGrade[Rank/Grade], MATCH(ROWS($R$3:R366)-1, StatusBranchGrade[S2], 0)), "") &amp; ""</f>
        <v/>
      </c>
      <c r="T366" s="63">
        <f>--ISNUMBER(IF(StatusBranchGrade[[#This Row],[Spouse0]] = 'Calculation Worksheet'!$CG$6 &amp; "  /  " &amp; 'Calculation Worksheet'!$CG$7, 1, ""))</f>
        <v>0</v>
      </c>
      <c r="U366" s="63" t="str">
        <f>IF(StatusBranchGrade[[#This Row],[T1]] = 1, COUNTIF($T$3:T366, 1), "")</f>
        <v/>
      </c>
      <c r="V366" s="63" t="str">
        <f>IFERROR(INDEX(StatusBranchGrade[Rank/Grade], MATCH(ROWS($U$3:U366)-1, StatusBranchGrade[T2], 0)), "") &amp; ""</f>
        <v/>
      </c>
      <c r="W366" s="63"/>
    </row>
    <row r="367" spans="1:23" x14ac:dyDescent="0.25">
      <c r="A367">
        <v>6</v>
      </c>
      <c r="B367" t="s">
        <v>390</v>
      </c>
      <c r="C367" t="s">
        <v>180</v>
      </c>
      <c r="D367" t="s">
        <v>92</v>
      </c>
      <c r="E367" t="str">
        <f>IF(StatusBranchGrade[[#This Row],[Status]] = "CYS", "DoD", StatusBranchGrade[[#This Row],[Rank]] &amp; "")</f>
        <v>W-5</v>
      </c>
      <c r="F367" t="s">
        <v>177</v>
      </c>
      <c r="G367" t="str">
        <f>IF(StatusBranchGrade[[#This Row],[Rank]] = StatusBranchGrade[[#This Row],[Grade]], StatusBranchGrade[[#This Row],[Rank]], StatusBranchGrade[[#This Row],[Grade]] &amp; "/" &amp; StatusBranchGrade[[#This Row],[Rank]]) &amp; ""</f>
        <v>CW5/W-5</v>
      </c>
      <c r="H3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CW5/W-5</v>
      </c>
      <c r="I367" s="17" t="str">
        <f>SUBSTITUTE(SUBSTITUTE(SUBSTITUTE(StatusBranchGrade[[#This Row],[Status]] &amp; "  /  " &amp; StatusBranchGrade[[#This Row],[Branch]] &amp; ";", "  /  ;", ";"), "  /  ;", ";"), ";", "")</f>
        <v>Full-time Nat'l Guard  /  Army</v>
      </c>
      <c r="J367">
        <v>12</v>
      </c>
      <c r="K367" s="17" t="str">
        <f>IF(LEFT(StatusBranchGrade[[#This Row],[Which]], 1) = "1", StatusBranchGrade[[#This Row],[Key]], "")</f>
        <v>Full-time Nat'l Guard  /  Army  /  CW5/W-5</v>
      </c>
      <c r="L367" s="17" t="str">
        <f>IF(LEFT(StatusBranchGrade[[#This Row],[Which]], 1) = "1", StatusBranchGrade[[#This Row],[Key0]], "")</f>
        <v>Full-time Nat'l Guard  /  Army</v>
      </c>
      <c r="M367" s="17" t="str">
        <f>IF(RIGHT(StatusBranchGrade[[#This Row],[Which]], 1) = "2", StatusBranchGrade[[#This Row],[Key]], "")</f>
        <v>Full-time Nat'l Guard  /  Army  /  CW5/W-5</v>
      </c>
      <c r="N367" s="17" t="str">
        <f>IF(RIGHT(StatusBranchGrade[[#This Row],[Which]], 1) = "2", StatusBranchGrade[[#This Row],[Key0]], "")</f>
        <v>Full-time Nat'l Guard  /  Army</v>
      </c>
      <c r="O367" s="17" t="s">
        <v>301</v>
      </c>
      <c r="P367" s="17"/>
      <c r="Q367" s="63">
        <f>--ISNUMBER(IF(StatusBranchGrade[[#This Row],[Sponsor0]] = 'Calculation Worksheet'!$AV$6 &amp; "  /  " &amp; 'Calculation Worksheet'!$AV$7, 1, ""))</f>
        <v>0</v>
      </c>
      <c r="R367" s="63" t="str">
        <f>IF(StatusBranchGrade[[#This Row],[S1]] = 1, COUNTIF($Q$3:Q367, 1), "")</f>
        <v/>
      </c>
      <c r="S367" s="63" t="str">
        <f>IFERROR(INDEX(StatusBranchGrade[Rank/Grade], MATCH(ROWS($R$3:R367)-1, StatusBranchGrade[S2], 0)), "") &amp; ""</f>
        <v/>
      </c>
      <c r="T367" s="63">
        <f>--ISNUMBER(IF(StatusBranchGrade[[#This Row],[Spouse0]] = 'Calculation Worksheet'!$CG$6 &amp; "  /  " &amp; 'Calculation Worksheet'!$CG$7, 1, ""))</f>
        <v>0</v>
      </c>
      <c r="U367" s="63" t="str">
        <f>IF(StatusBranchGrade[[#This Row],[T1]] = 1, COUNTIF($T$3:T367, 1), "")</f>
        <v/>
      </c>
      <c r="V367" s="63" t="str">
        <f>IFERROR(INDEX(StatusBranchGrade[Rank/Grade], MATCH(ROWS($U$3:U367)-1, StatusBranchGrade[T2], 0)), "") &amp; ""</f>
        <v/>
      </c>
      <c r="W367" s="63"/>
    </row>
    <row r="368" spans="1:23" x14ac:dyDescent="0.25">
      <c r="A368">
        <v>6</v>
      </c>
      <c r="B368" t="s">
        <v>390</v>
      </c>
      <c r="C368" t="s">
        <v>180</v>
      </c>
      <c r="D368" t="s">
        <v>105</v>
      </c>
      <c r="E368" t="str">
        <f>IF(StatusBranchGrade[[#This Row],[Status]] = "CYS", "DoD", StatusBranchGrade[[#This Row],[Rank]] &amp; "")</f>
        <v>E-1</v>
      </c>
      <c r="F368" t="s">
        <v>105</v>
      </c>
      <c r="G368" t="str">
        <f>IF(StatusBranchGrade[[#This Row],[Rank]] = StatusBranchGrade[[#This Row],[Grade]], StatusBranchGrade[[#This Row],[Rank]], StatusBranchGrade[[#This Row],[Grade]] &amp; "/" &amp; StatusBranchGrade[[#This Row],[Rank]]) &amp; ""</f>
        <v>E-1</v>
      </c>
      <c r="H3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E-1</v>
      </c>
      <c r="I368" s="17" t="str">
        <f>SUBSTITUTE(SUBSTITUTE(SUBSTITUTE(StatusBranchGrade[[#This Row],[Status]] &amp; "  /  " &amp; StatusBranchGrade[[#This Row],[Branch]] &amp; ";", "  /  ;", ";"), "  /  ;", ";"), ";", "")</f>
        <v>Full-time Nat'l Guard  /  Army</v>
      </c>
      <c r="J368">
        <v>12</v>
      </c>
      <c r="K368" s="17" t="str">
        <f>IF(LEFT(StatusBranchGrade[[#This Row],[Which]], 1) = "1", StatusBranchGrade[[#This Row],[Key]], "")</f>
        <v>Full-time Nat'l Guard  /  Army  /  E-1</v>
      </c>
      <c r="L368" s="17" t="str">
        <f>IF(LEFT(StatusBranchGrade[[#This Row],[Which]], 1) = "1", StatusBranchGrade[[#This Row],[Key0]], "")</f>
        <v>Full-time Nat'l Guard  /  Army</v>
      </c>
      <c r="M368" s="17" t="str">
        <f>IF(RIGHT(StatusBranchGrade[[#This Row],[Which]], 1) = "2", StatusBranchGrade[[#This Row],[Key]], "")</f>
        <v>Full-time Nat'l Guard  /  Army  /  E-1</v>
      </c>
      <c r="N368" s="17" t="str">
        <f>IF(RIGHT(StatusBranchGrade[[#This Row],[Which]], 1) = "2", StatusBranchGrade[[#This Row],[Key0]], "")</f>
        <v>Full-time Nat'l Guard  /  Army</v>
      </c>
      <c r="O368" s="17" t="s">
        <v>301</v>
      </c>
      <c r="P368" s="17"/>
      <c r="Q368" s="63">
        <f>--ISNUMBER(IF(StatusBranchGrade[[#This Row],[Sponsor0]] = 'Calculation Worksheet'!$AV$6 &amp; "  /  " &amp; 'Calculation Worksheet'!$AV$7, 1, ""))</f>
        <v>0</v>
      </c>
      <c r="R368" s="63" t="str">
        <f>IF(StatusBranchGrade[[#This Row],[S1]] = 1, COUNTIF($Q$3:Q368, 1), "")</f>
        <v/>
      </c>
      <c r="S368" s="63" t="str">
        <f>IFERROR(INDEX(StatusBranchGrade[Rank/Grade], MATCH(ROWS($R$3:R368)-1, StatusBranchGrade[S2], 0)), "") &amp; ""</f>
        <v/>
      </c>
      <c r="T368" s="63">
        <f>--ISNUMBER(IF(StatusBranchGrade[[#This Row],[Spouse0]] = 'Calculation Worksheet'!$CG$6 &amp; "  /  " &amp; 'Calculation Worksheet'!$CG$7, 1, ""))</f>
        <v>0</v>
      </c>
      <c r="U368" s="63" t="str">
        <f>IF(StatusBranchGrade[[#This Row],[T1]] = 1, COUNTIF($T$3:T368, 1), "")</f>
        <v/>
      </c>
      <c r="V368" s="63" t="str">
        <f>IFERROR(INDEX(StatusBranchGrade[Rank/Grade], MATCH(ROWS($U$3:U368)-1, StatusBranchGrade[T2], 0)), "") &amp; ""</f>
        <v/>
      </c>
      <c r="W368" s="63"/>
    </row>
    <row r="369" spans="1:23" x14ac:dyDescent="0.25">
      <c r="A369">
        <v>6</v>
      </c>
      <c r="B369" t="s">
        <v>390</v>
      </c>
      <c r="C369" t="s">
        <v>180</v>
      </c>
      <c r="D369" t="s">
        <v>104</v>
      </c>
      <c r="E369" t="str">
        <f>IF(StatusBranchGrade[[#This Row],[Status]] = "CYS", "DoD", StatusBranchGrade[[#This Row],[Rank]] &amp; "")</f>
        <v>E-2</v>
      </c>
      <c r="F369" t="s">
        <v>104</v>
      </c>
      <c r="G369" t="str">
        <f>IF(StatusBranchGrade[[#This Row],[Rank]] = StatusBranchGrade[[#This Row],[Grade]], StatusBranchGrade[[#This Row],[Rank]], StatusBranchGrade[[#This Row],[Grade]] &amp; "/" &amp; StatusBranchGrade[[#This Row],[Rank]]) &amp; ""</f>
        <v>E-2</v>
      </c>
      <c r="H3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E-2</v>
      </c>
      <c r="I369" s="17" t="str">
        <f>SUBSTITUTE(SUBSTITUTE(SUBSTITUTE(StatusBranchGrade[[#This Row],[Status]] &amp; "  /  " &amp; StatusBranchGrade[[#This Row],[Branch]] &amp; ";", "  /  ;", ";"), "  /  ;", ";"), ";", "")</f>
        <v>Full-time Nat'l Guard  /  Army</v>
      </c>
      <c r="J369">
        <v>12</v>
      </c>
      <c r="K369" s="17" t="str">
        <f>IF(LEFT(StatusBranchGrade[[#This Row],[Which]], 1) = "1", StatusBranchGrade[[#This Row],[Key]], "")</f>
        <v>Full-time Nat'l Guard  /  Army  /  E-2</v>
      </c>
      <c r="L369" s="17" t="str">
        <f>IF(LEFT(StatusBranchGrade[[#This Row],[Which]], 1) = "1", StatusBranchGrade[[#This Row],[Key0]], "")</f>
        <v>Full-time Nat'l Guard  /  Army</v>
      </c>
      <c r="M369" s="17" t="str">
        <f>IF(RIGHT(StatusBranchGrade[[#This Row],[Which]], 1) = "2", StatusBranchGrade[[#This Row],[Key]], "")</f>
        <v>Full-time Nat'l Guard  /  Army  /  E-2</v>
      </c>
      <c r="N369" s="17" t="str">
        <f>IF(RIGHT(StatusBranchGrade[[#This Row],[Which]], 1) = "2", StatusBranchGrade[[#This Row],[Key0]], "")</f>
        <v>Full-time Nat'l Guard  /  Army</v>
      </c>
      <c r="O369" s="17" t="s">
        <v>301</v>
      </c>
      <c r="P369" s="17"/>
      <c r="Q369" s="63">
        <f>--ISNUMBER(IF(StatusBranchGrade[[#This Row],[Sponsor0]] = 'Calculation Worksheet'!$AV$6 &amp; "  /  " &amp; 'Calculation Worksheet'!$AV$7, 1, ""))</f>
        <v>0</v>
      </c>
      <c r="R369" s="63" t="str">
        <f>IF(StatusBranchGrade[[#This Row],[S1]] = 1, COUNTIF($Q$3:Q369, 1), "")</f>
        <v/>
      </c>
      <c r="S369" s="63" t="str">
        <f>IFERROR(INDEX(StatusBranchGrade[Rank/Grade], MATCH(ROWS($R$3:R369)-1, StatusBranchGrade[S2], 0)), "") &amp; ""</f>
        <v/>
      </c>
      <c r="T369" s="63">
        <f>--ISNUMBER(IF(StatusBranchGrade[[#This Row],[Spouse0]] = 'Calculation Worksheet'!$CG$6 &amp; "  /  " &amp; 'Calculation Worksheet'!$CG$7, 1, ""))</f>
        <v>0</v>
      </c>
      <c r="U369" s="63" t="str">
        <f>IF(StatusBranchGrade[[#This Row],[T1]] = 1, COUNTIF($T$3:T369, 1), "")</f>
        <v/>
      </c>
      <c r="V369" s="63" t="str">
        <f>IFERROR(INDEX(StatusBranchGrade[Rank/Grade], MATCH(ROWS($U$3:U369)-1, StatusBranchGrade[T2], 0)), "") &amp; ""</f>
        <v/>
      </c>
      <c r="W369" s="63"/>
    </row>
    <row r="370" spans="1:23" x14ac:dyDescent="0.25">
      <c r="A370">
        <v>6</v>
      </c>
      <c r="B370" t="s">
        <v>390</v>
      </c>
      <c r="C370" t="s">
        <v>180</v>
      </c>
      <c r="D370" t="s">
        <v>103</v>
      </c>
      <c r="E370" t="str">
        <f>IF(StatusBranchGrade[[#This Row],[Status]] = "CYS", "DoD", StatusBranchGrade[[#This Row],[Rank]] &amp; "")</f>
        <v>E-3</v>
      </c>
      <c r="F370" t="s">
        <v>103</v>
      </c>
      <c r="G370" t="str">
        <f>IF(StatusBranchGrade[[#This Row],[Rank]] = StatusBranchGrade[[#This Row],[Grade]], StatusBranchGrade[[#This Row],[Rank]], StatusBranchGrade[[#This Row],[Grade]] &amp; "/" &amp; StatusBranchGrade[[#This Row],[Rank]]) &amp; ""</f>
        <v>E-3</v>
      </c>
      <c r="H37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E-3</v>
      </c>
      <c r="I370" s="17" t="str">
        <f>SUBSTITUTE(SUBSTITUTE(SUBSTITUTE(StatusBranchGrade[[#This Row],[Status]] &amp; "  /  " &amp; StatusBranchGrade[[#This Row],[Branch]] &amp; ";", "  /  ;", ";"), "  /  ;", ";"), ";", "")</f>
        <v>Full-time Nat'l Guard  /  Army</v>
      </c>
      <c r="J370">
        <v>12</v>
      </c>
      <c r="K370" s="17" t="str">
        <f>IF(LEFT(StatusBranchGrade[[#This Row],[Which]], 1) = "1", StatusBranchGrade[[#This Row],[Key]], "")</f>
        <v>Full-time Nat'l Guard  /  Army  /  E-3</v>
      </c>
      <c r="L370" s="17" t="str">
        <f>IF(LEFT(StatusBranchGrade[[#This Row],[Which]], 1) = "1", StatusBranchGrade[[#This Row],[Key0]], "")</f>
        <v>Full-time Nat'l Guard  /  Army</v>
      </c>
      <c r="M370" s="17" t="str">
        <f>IF(RIGHT(StatusBranchGrade[[#This Row],[Which]], 1) = "2", StatusBranchGrade[[#This Row],[Key]], "")</f>
        <v>Full-time Nat'l Guard  /  Army  /  E-3</v>
      </c>
      <c r="N370" s="17" t="str">
        <f>IF(RIGHT(StatusBranchGrade[[#This Row],[Which]], 1) = "2", StatusBranchGrade[[#This Row],[Key0]], "")</f>
        <v>Full-time Nat'l Guard  /  Army</v>
      </c>
      <c r="O370" s="17" t="s">
        <v>301</v>
      </c>
      <c r="P370" s="17"/>
      <c r="Q370" s="63">
        <f>--ISNUMBER(IF(StatusBranchGrade[[#This Row],[Sponsor0]] = 'Calculation Worksheet'!$AV$6 &amp; "  /  " &amp; 'Calculation Worksheet'!$AV$7, 1, ""))</f>
        <v>0</v>
      </c>
      <c r="R370" s="63" t="str">
        <f>IF(StatusBranchGrade[[#This Row],[S1]] = 1, COUNTIF($Q$3:Q370, 1), "")</f>
        <v/>
      </c>
      <c r="S370" s="63" t="str">
        <f>IFERROR(INDEX(StatusBranchGrade[Rank/Grade], MATCH(ROWS($R$3:R370)-1, StatusBranchGrade[S2], 0)), "") &amp; ""</f>
        <v/>
      </c>
      <c r="T370" s="63">
        <f>--ISNUMBER(IF(StatusBranchGrade[[#This Row],[Spouse0]] = 'Calculation Worksheet'!$CG$6 &amp; "  /  " &amp; 'Calculation Worksheet'!$CG$7, 1, ""))</f>
        <v>0</v>
      </c>
      <c r="U370" s="63" t="str">
        <f>IF(StatusBranchGrade[[#This Row],[T1]] = 1, COUNTIF($T$3:T370, 1), "")</f>
        <v/>
      </c>
      <c r="V370" s="63" t="str">
        <f>IFERROR(INDEX(StatusBranchGrade[Rank/Grade], MATCH(ROWS($U$3:U370)-1, StatusBranchGrade[T2], 0)), "") &amp; ""</f>
        <v/>
      </c>
      <c r="W370" s="63"/>
    </row>
    <row r="371" spans="1:23" x14ac:dyDescent="0.25">
      <c r="A371">
        <v>6</v>
      </c>
      <c r="B371" t="s">
        <v>390</v>
      </c>
      <c r="C371" t="s">
        <v>180</v>
      </c>
      <c r="D371" t="s">
        <v>102</v>
      </c>
      <c r="E371" t="str">
        <f>IF(StatusBranchGrade[[#This Row],[Status]] = "CYS", "DoD", StatusBranchGrade[[#This Row],[Rank]] &amp; "")</f>
        <v>E-4</v>
      </c>
      <c r="F371" t="s">
        <v>102</v>
      </c>
      <c r="G371" t="str">
        <f>IF(StatusBranchGrade[[#This Row],[Rank]] = StatusBranchGrade[[#This Row],[Grade]], StatusBranchGrade[[#This Row],[Rank]], StatusBranchGrade[[#This Row],[Grade]] &amp; "/" &amp; StatusBranchGrade[[#This Row],[Rank]]) &amp; ""</f>
        <v>E-4</v>
      </c>
      <c r="H37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E-4</v>
      </c>
      <c r="I371" s="17" t="str">
        <f>SUBSTITUTE(SUBSTITUTE(SUBSTITUTE(StatusBranchGrade[[#This Row],[Status]] &amp; "  /  " &amp; StatusBranchGrade[[#This Row],[Branch]] &amp; ";", "  /  ;", ";"), "  /  ;", ";"), ";", "")</f>
        <v>Full-time Nat'l Guard  /  Army</v>
      </c>
      <c r="J371">
        <v>12</v>
      </c>
      <c r="K371" s="17" t="str">
        <f>IF(LEFT(StatusBranchGrade[[#This Row],[Which]], 1) = "1", StatusBranchGrade[[#This Row],[Key]], "")</f>
        <v>Full-time Nat'l Guard  /  Army  /  E-4</v>
      </c>
      <c r="L371" s="17" t="str">
        <f>IF(LEFT(StatusBranchGrade[[#This Row],[Which]], 1) = "1", StatusBranchGrade[[#This Row],[Key0]], "")</f>
        <v>Full-time Nat'l Guard  /  Army</v>
      </c>
      <c r="M371" s="17" t="str">
        <f>IF(RIGHT(StatusBranchGrade[[#This Row],[Which]], 1) = "2", StatusBranchGrade[[#This Row],[Key]], "")</f>
        <v>Full-time Nat'l Guard  /  Army  /  E-4</v>
      </c>
      <c r="N371" s="17" t="str">
        <f>IF(RIGHT(StatusBranchGrade[[#This Row],[Which]], 1) = "2", StatusBranchGrade[[#This Row],[Key0]], "")</f>
        <v>Full-time Nat'l Guard  /  Army</v>
      </c>
      <c r="O371" s="17" t="s">
        <v>301</v>
      </c>
      <c r="P371" s="17"/>
      <c r="Q371" s="63">
        <f>--ISNUMBER(IF(StatusBranchGrade[[#This Row],[Sponsor0]] = 'Calculation Worksheet'!$AV$6 &amp; "  /  " &amp; 'Calculation Worksheet'!$AV$7, 1, ""))</f>
        <v>0</v>
      </c>
      <c r="R371" s="63" t="str">
        <f>IF(StatusBranchGrade[[#This Row],[S1]] = 1, COUNTIF($Q$3:Q371, 1), "")</f>
        <v/>
      </c>
      <c r="S371" s="63" t="str">
        <f>IFERROR(INDEX(StatusBranchGrade[Rank/Grade], MATCH(ROWS($R$3:R371)-1, StatusBranchGrade[S2], 0)), "") &amp; ""</f>
        <v/>
      </c>
      <c r="T371" s="63">
        <f>--ISNUMBER(IF(StatusBranchGrade[[#This Row],[Spouse0]] = 'Calculation Worksheet'!$CG$6 &amp; "  /  " &amp; 'Calculation Worksheet'!$CG$7, 1, ""))</f>
        <v>0</v>
      </c>
      <c r="U371" s="63" t="str">
        <f>IF(StatusBranchGrade[[#This Row],[T1]] = 1, COUNTIF($T$3:T371, 1), "")</f>
        <v/>
      </c>
      <c r="V371" s="63" t="str">
        <f>IFERROR(INDEX(StatusBranchGrade[Rank/Grade], MATCH(ROWS($U$3:U371)-1, StatusBranchGrade[T2], 0)), "") &amp; ""</f>
        <v/>
      </c>
      <c r="W371" s="63"/>
    </row>
    <row r="372" spans="1:23" x14ac:dyDescent="0.25">
      <c r="A372">
        <v>6</v>
      </c>
      <c r="B372" t="s">
        <v>390</v>
      </c>
      <c r="C372" t="s">
        <v>180</v>
      </c>
      <c r="D372" t="s">
        <v>101</v>
      </c>
      <c r="E372" t="str">
        <f>IF(StatusBranchGrade[[#This Row],[Status]] = "CYS", "DoD", StatusBranchGrade[[#This Row],[Rank]] &amp; "")</f>
        <v>E-5</v>
      </c>
      <c r="F372" t="s">
        <v>101</v>
      </c>
      <c r="G372" t="str">
        <f>IF(StatusBranchGrade[[#This Row],[Rank]] = StatusBranchGrade[[#This Row],[Grade]], StatusBranchGrade[[#This Row],[Rank]], StatusBranchGrade[[#This Row],[Grade]] &amp; "/" &amp; StatusBranchGrade[[#This Row],[Rank]]) &amp; ""</f>
        <v>E-5</v>
      </c>
      <c r="H37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E-5</v>
      </c>
      <c r="I372" s="17" t="str">
        <f>SUBSTITUTE(SUBSTITUTE(SUBSTITUTE(StatusBranchGrade[[#This Row],[Status]] &amp; "  /  " &amp; StatusBranchGrade[[#This Row],[Branch]] &amp; ";", "  /  ;", ";"), "  /  ;", ";"), ";", "")</f>
        <v>Full-time Nat'l Guard  /  Army</v>
      </c>
      <c r="J372">
        <v>12</v>
      </c>
      <c r="K372" s="17" t="str">
        <f>IF(LEFT(StatusBranchGrade[[#This Row],[Which]], 1) = "1", StatusBranchGrade[[#This Row],[Key]], "")</f>
        <v>Full-time Nat'l Guard  /  Army  /  E-5</v>
      </c>
      <c r="L372" s="17" t="str">
        <f>IF(LEFT(StatusBranchGrade[[#This Row],[Which]], 1) = "1", StatusBranchGrade[[#This Row],[Key0]], "")</f>
        <v>Full-time Nat'l Guard  /  Army</v>
      </c>
      <c r="M372" s="17" t="str">
        <f>IF(RIGHT(StatusBranchGrade[[#This Row],[Which]], 1) = "2", StatusBranchGrade[[#This Row],[Key]], "")</f>
        <v>Full-time Nat'l Guard  /  Army  /  E-5</v>
      </c>
      <c r="N372" s="17" t="str">
        <f>IF(RIGHT(StatusBranchGrade[[#This Row],[Which]], 1) = "2", StatusBranchGrade[[#This Row],[Key0]], "")</f>
        <v>Full-time Nat'l Guard  /  Army</v>
      </c>
      <c r="O372" s="17" t="s">
        <v>301</v>
      </c>
      <c r="P372" s="17"/>
      <c r="Q372" s="63">
        <f>--ISNUMBER(IF(StatusBranchGrade[[#This Row],[Sponsor0]] = 'Calculation Worksheet'!$AV$6 &amp; "  /  " &amp; 'Calculation Worksheet'!$AV$7, 1, ""))</f>
        <v>0</v>
      </c>
      <c r="R372" s="63" t="str">
        <f>IF(StatusBranchGrade[[#This Row],[S1]] = 1, COUNTIF($Q$3:Q372, 1), "")</f>
        <v/>
      </c>
      <c r="S372" s="63" t="str">
        <f>IFERROR(INDEX(StatusBranchGrade[Rank/Grade], MATCH(ROWS($R$3:R372)-1, StatusBranchGrade[S2], 0)), "") &amp; ""</f>
        <v/>
      </c>
      <c r="T372" s="63">
        <f>--ISNUMBER(IF(StatusBranchGrade[[#This Row],[Spouse0]] = 'Calculation Worksheet'!$CG$6 &amp; "  /  " &amp; 'Calculation Worksheet'!$CG$7, 1, ""))</f>
        <v>0</v>
      </c>
      <c r="U372" s="63" t="str">
        <f>IF(StatusBranchGrade[[#This Row],[T1]] = 1, COUNTIF($T$3:T372, 1), "")</f>
        <v/>
      </c>
      <c r="V372" s="63" t="str">
        <f>IFERROR(INDEX(StatusBranchGrade[Rank/Grade], MATCH(ROWS($U$3:U372)-1, StatusBranchGrade[T2], 0)), "") &amp; ""</f>
        <v/>
      </c>
      <c r="W372" s="63"/>
    </row>
    <row r="373" spans="1:23" x14ac:dyDescent="0.25">
      <c r="A373">
        <v>6</v>
      </c>
      <c r="B373" t="s">
        <v>390</v>
      </c>
      <c r="C373" t="s">
        <v>180</v>
      </c>
      <c r="D373" t="s">
        <v>100</v>
      </c>
      <c r="E373" t="str">
        <f>IF(StatusBranchGrade[[#This Row],[Status]] = "CYS", "DoD", StatusBranchGrade[[#This Row],[Rank]] &amp; "")</f>
        <v>E-6</v>
      </c>
      <c r="F373" t="s">
        <v>100</v>
      </c>
      <c r="G373" t="str">
        <f>IF(StatusBranchGrade[[#This Row],[Rank]] = StatusBranchGrade[[#This Row],[Grade]], StatusBranchGrade[[#This Row],[Rank]], StatusBranchGrade[[#This Row],[Grade]] &amp; "/" &amp; StatusBranchGrade[[#This Row],[Rank]]) &amp; ""</f>
        <v>E-6</v>
      </c>
      <c r="H37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E-6</v>
      </c>
      <c r="I373" s="17" t="str">
        <f>SUBSTITUTE(SUBSTITUTE(SUBSTITUTE(StatusBranchGrade[[#This Row],[Status]] &amp; "  /  " &amp; StatusBranchGrade[[#This Row],[Branch]] &amp; ";", "  /  ;", ";"), "  /  ;", ";"), ";", "")</f>
        <v>Full-time Nat'l Guard  /  Army</v>
      </c>
      <c r="J373">
        <v>12</v>
      </c>
      <c r="K373" s="17" t="str">
        <f>IF(LEFT(StatusBranchGrade[[#This Row],[Which]], 1) = "1", StatusBranchGrade[[#This Row],[Key]], "")</f>
        <v>Full-time Nat'l Guard  /  Army  /  E-6</v>
      </c>
      <c r="L373" s="17" t="str">
        <f>IF(LEFT(StatusBranchGrade[[#This Row],[Which]], 1) = "1", StatusBranchGrade[[#This Row],[Key0]], "")</f>
        <v>Full-time Nat'l Guard  /  Army</v>
      </c>
      <c r="M373" s="17" t="str">
        <f>IF(RIGHT(StatusBranchGrade[[#This Row],[Which]], 1) = "2", StatusBranchGrade[[#This Row],[Key]], "")</f>
        <v>Full-time Nat'l Guard  /  Army  /  E-6</v>
      </c>
      <c r="N373" s="17" t="str">
        <f>IF(RIGHT(StatusBranchGrade[[#This Row],[Which]], 1) = "2", StatusBranchGrade[[#This Row],[Key0]], "")</f>
        <v>Full-time Nat'l Guard  /  Army</v>
      </c>
      <c r="O373" s="17" t="s">
        <v>301</v>
      </c>
      <c r="P373" s="17"/>
      <c r="Q373" s="63">
        <f>--ISNUMBER(IF(StatusBranchGrade[[#This Row],[Sponsor0]] = 'Calculation Worksheet'!$AV$6 &amp; "  /  " &amp; 'Calculation Worksheet'!$AV$7, 1, ""))</f>
        <v>0</v>
      </c>
      <c r="R373" s="63" t="str">
        <f>IF(StatusBranchGrade[[#This Row],[S1]] = 1, COUNTIF($Q$3:Q373, 1), "")</f>
        <v/>
      </c>
      <c r="S373" s="63" t="str">
        <f>IFERROR(INDEX(StatusBranchGrade[Rank/Grade], MATCH(ROWS($R$3:R373)-1, StatusBranchGrade[S2], 0)), "") &amp; ""</f>
        <v/>
      </c>
      <c r="T373" s="63">
        <f>--ISNUMBER(IF(StatusBranchGrade[[#This Row],[Spouse0]] = 'Calculation Worksheet'!$CG$6 &amp; "  /  " &amp; 'Calculation Worksheet'!$CG$7, 1, ""))</f>
        <v>0</v>
      </c>
      <c r="U373" s="63" t="str">
        <f>IF(StatusBranchGrade[[#This Row],[T1]] = 1, COUNTIF($T$3:T373, 1), "")</f>
        <v/>
      </c>
      <c r="V373" s="63" t="str">
        <f>IFERROR(INDEX(StatusBranchGrade[Rank/Grade], MATCH(ROWS($U$3:U373)-1, StatusBranchGrade[T2], 0)), "") &amp; ""</f>
        <v/>
      </c>
      <c r="W373" s="63"/>
    </row>
    <row r="374" spans="1:23" x14ac:dyDescent="0.25">
      <c r="A374">
        <v>6</v>
      </c>
      <c r="B374" t="s">
        <v>390</v>
      </c>
      <c r="C374" t="s">
        <v>180</v>
      </c>
      <c r="D374" t="s">
        <v>99</v>
      </c>
      <c r="E374" t="str">
        <f>IF(StatusBranchGrade[[#This Row],[Status]] = "CYS", "DoD", StatusBranchGrade[[#This Row],[Rank]] &amp; "")</f>
        <v>E-7</v>
      </c>
      <c r="F374" t="s">
        <v>99</v>
      </c>
      <c r="G374" t="str">
        <f>IF(StatusBranchGrade[[#This Row],[Rank]] = StatusBranchGrade[[#This Row],[Grade]], StatusBranchGrade[[#This Row],[Rank]], StatusBranchGrade[[#This Row],[Grade]] &amp; "/" &amp; StatusBranchGrade[[#This Row],[Rank]]) &amp; ""</f>
        <v>E-7</v>
      </c>
      <c r="H37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E-7</v>
      </c>
      <c r="I374" s="17" t="str">
        <f>SUBSTITUTE(SUBSTITUTE(SUBSTITUTE(StatusBranchGrade[[#This Row],[Status]] &amp; "  /  " &amp; StatusBranchGrade[[#This Row],[Branch]] &amp; ";", "  /  ;", ";"), "  /  ;", ";"), ";", "")</f>
        <v>Full-time Nat'l Guard  /  Army</v>
      </c>
      <c r="J374">
        <v>12</v>
      </c>
      <c r="K374" s="17" t="str">
        <f>IF(LEFT(StatusBranchGrade[[#This Row],[Which]], 1) = "1", StatusBranchGrade[[#This Row],[Key]], "")</f>
        <v>Full-time Nat'l Guard  /  Army  /  E-7</v>
      </c>
      <c r="L374" s="17" t="str">
        <f>IF(LEFT(StatusBranchGrade[[#This Row],[Which]], 1) = "1", StatusBranchGrade[[#This Row],[Key0]], "")</f>
        <v>Full-time Nat'l Guard  /  Army</v>
      </c>
      <c r="M374" s="17" t="str">
        <f>IF(RIGHT(StatusBranchGrade[[#This Row],[Which]], 1) = "2", StatusBranchGrade[[#This Row],[Key]], "")</f>
        <v>Full-time Nat'l Guard  /  Army  /  E-7</v>
      </c>
      <c r="N374" s="17" t="str">
        <f>IF(RIGHT(StatusBranchGrade[[#This Row],[Which]], 1) = "2", StatusBranchGrade[[#This Row],[Key0]], "")</f>
        <v>Full-time Nat'l Guard  /  Army</v>
      </c>
      <c r="O374" s="17" t="s">
        <v>301</v>
      </c>
      <c r="P374" s="17"/>
      <c r="Q374" s="63">
        <f>--ISNUMBER(IF(StatusBranchGrade[[#This Row],[Sponsor0]] = 'Calculation Worksheet'!$AV$6 &amp; "  /  " &amp; 'Calculation Worksheet'!$AV$7, 1, ""))</f>
        <v>0</v>
      </c>
      <c r="R374" s="63" t="str">
        <f>IF(StatusBranchGrade[[#This Row],[S1]] = 1, COUNTIF($Q$3:Q374, 1), "")</f>
        <v/>
      </c>
      <c r="S374" s="63" t="str">
        <f>IFERROR(INDEX(StatusBranchGrade[Rank/Grade], MATCH(ROWS($R$3:R374)-1, StatusBranchGrade[S2], 0)), "") &amp; ""</f>
        <v/>
      </c>
      <c r="T374" s="63">
        <f>--ISNUMBER(IF(StatusBranchGrade[[#This Row],[Spouse0]] = 'Calculation Worksheet'!$CG$6 &amp; "  /  " &amp; 'Calculation Worksheet'!$CG$7, 1, ""))</f>
        <v>0</v>
      </c>
      <c r="U374" s="63" t="str">
        <f>IF(StatusBranchGrade[[#This Row],[T1]] = 1, COUNTIF($T$3:T374, 1), "")</f>
        <v/>
      </c>
      <c r="V374" s="63" t="str">
        <f>IFERROR(INDEX(StatusBranchGrade[Rank/Grade], MATCH(ROWS($U$3:U374)-1, StatusBranchGrade[T2], 0)), "") &amp; ""</f>
        <v/>
      </c>
      <c r="W374" s="63"/>
    </row>
    <row r="375" spans="1:23" x14ac:dyDescent="0.25">
      <c r="A375">
        <v>6</v>
      </c>
      <c r="B375" t="s">
        <v>390</v>
      </c>
      <c r="C375" t="s">
        <v>180</v>
      </c>
      <c r="D375" t="s">
        <v>98</v>
      </c>
      <c r="E375" t="str">
        <f>IF(StatusBranchGrade[[#This Row],[Status]] = "CYS", "DoD", StatusBranchGrade[[#This Row],[Rank]] &amp; "")</f>
        <v>E-8</v>
      </c>
      <c r="F375" t="s">
        <v>98</v>
      </c>
      <c r="G375" t="str">
        <f>IF(StatusBranchGrade[[#This Row],[Rank]] = StatusBranchGrade[[#This Row],[Grade]], StatusBranchGrade[[#This Row],[Rank]], StatusBranchGrade[[#This Row],[Grade]] &amp; "/" &amp; StatusBranchGrade[[#This Row],[Rank]]) &amp; ""</f>
        <v>E-8</v>
      </c>
      <c r="H37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E-8</v>
      </c>
      <c r="I375" s="17" t="str">
        <f>SUBSTITUTE(SUBSTITUTE(SUBSTITUTE(StatusBranchGrade[[#This Row],[Status]] &amp; "  /  " &amp; StatusBranchGrade[[#This Row],[Branch]] &amp; ";", "  /  ;", ";"), "  /  ;", ";"), ";", "")</f>
        <v>Full-time Nat'l Guard  /  Army</v>
      </c>
      <c r="J375">
        <v>12</v>
      </c>
      <c r="K375" s="17" t="str">
        <f>IF(LEFT(StatusBranchGrade[[#This Row],[Which]], 1) = "1", StatusBranchGrade[[#This Row],[Key]], "")</f>
        <v>Full-time Nat'l Guard  /  Army  /  E-8</v>
      </c>
      <c r="L375" s="17" t="str">
        <f>IF(LEFT(StatusBranchGrade[[#This Row],[Which]], 1) = "1", StatusBranchGrade[[#This Row],[Key0]], "")</f>
        <v>Full-time Nat'l Guard  /  Army</v>
      </c>
      <c r="M375" s="17" t="str">
        <f>IF(RIGHT(StatusBranchGrade[[#This Row],[Which]], 1) = "2", StatusBranchGrade[[#This Row],[Key]], "")</f>
        <v>Full-time Nat'l Guard  /  Army  /  E-8</v>
      </c>
      <c r="N375" s="17" t="str">
        <f>IF(RIGHT(StatusBranchGrade[[#This Row],[Which]], 1) = "2", StatusBranchGrade[[#This Row],[Key0]], "")</f>
        <v>Full-time Nat'l Guard  /  Army</v>
      </c>
      <c r="O375" s="17" t="s">
        <v>301</v>
      </c>
      <c r="P375" s="17"/>
      <c r="Q375" s="63">
        <f>--ISNUMBER(IF(StatusBranchGrade[[#This Row],[Sponsor0]] = 'Calculation Worksheet'!$AV$6 &amp; "  /  " &amp; 'Calculation Worksheet'!$AV$7, 1, ""))</f>
        <v>0</v>
      </c>
      <c r="R375" s="63" t="str">
        <f>IF(StatusBranchGrade[[#This Row],[S1]] = 1, COUNTIF($Q$3:Q375, 1), "")</f>
        <v/>
      </c>
      <c r="S375" s="63" t="str">
        <f>IFERROR(INDEX(StatusBranchGrade[Rank/Grade], MATCH(ROWS($R$3:R375)-1, StatusBranchGrade[S2], 0)), "") &amp; ""</f>
        <v/>
      </c>
      <c r="T375" s="63">
        <f>--ISNUMBER(IF(StatusBranchGrade[[#This Row],[Spouse0]] = 'Calculation Worksheet'!$CG$6 &amp; "  /  " &amp; 'Calculation Worksheet'!$CG$7, 1, ""))</f>
        <v>0</v>
      </c>
      <c r="U375" s="63" t="str">
        <f>IF(StatusBranchGrade[[#This Row],[T1]] = 1, COUNTIF($T$3:T375, 1), "")</f>
        <v/>
      </c>
      <c r="V375" s="63" t="str">
        <f>IFERROR(INDEX(StatusBranchGrade[Rank/Grade], MATCH(ROWS($U$3:U375)-1, StatusBranchGrade[T2], 0)), "") &amp; ""</f>
        <v/>
      </c>
      <c r="W375" s="63"/>
    </row>
    <row r="376" spans="1:23" x14ac:dyDescent="0.25">
      <c r="A376">
        <v>6</v>
      </c>
      <c r="B376" t="s">
        <v>390</v>
      </c>
      <c r="C376" t="s">
        <v>180</v>
      </c>
      <c r="D376" t="s">
        <v>97</v>
      </c>
      <c r="E376" t="str">
        <f>IF(StatusBranchGrade[[#This Row],[Status]] = "CYS", "DoD", StatusBranchGrade[[#This Row],[Rank]] &amp; "")</f>
        <v>E-9</v>
      </c>
      <c r="F376" t="s">
        <v>97</v>
      </c>
      <c r="G376" t="str">
        <f>IF(StatusBranchGrade[[#This Row],[Rank]] = StatusBranchGrade[[#This Row],[Grade]], StatusBranchGrade[[#This Row],[Rank]], StatusBranchGrade[[#This Row],[Grade]] &amp; "/" &amp; StatusBranchGrade[[#This Row],[Rank]]) &amp; ""</f>
        <v>E-9</v>
      </c>
      <c r="H37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E-9</v>
      </c>
      <c r="I376" s="17" t="str">
        <f>SUBSTITUTE(SUBSTITUTE(SUBSTITUTE(StatusBranchGrade[[#This Row],[Status]] &amp; "  /  " &amp; StatusBranchGrade[[#This Row],[Branch]] &amp; ";", "  /  ;", ";"), "  /  ;", ";"), ";", "")</f>
        <v>Full-time Nat'l Guard  /  Army</v>
      </c>
      <c r="J376">
        <v>12</v>
      </c>
      <c r="K376" s="17" t="str">
        <f>IF(LEFT(StatusBranchGrade[[#This Row],[Which]], 1) = "1", StatusBranchGrade[[#This Row],[Key]], "")</f>
        <v>Full-time Nat'l Guard  /  Army  /  E-9</v>
      </c>
      <c r="L376" s="17" t="str">
        <f>IF(LEFT(StatusBranchGrade[[#This Row],[Which]], 1) = "1", StatusBranchGrade[[#This Row],[Key0]], "")</f>
        <v>Full-time Nat'l Guard  /  Army</v>
      </c>
      <c r="M376" s="17" t="str">
        <f>IF(RIGHT(StatusBranchGrade[[#This Row],[Which]], 1) = "2", StatusBranchGrade[[#This Row],[Key]], "")</f>
        <v>Full-time Nat'l Guard  /  Army  /  E-9</v>
      </c>
      <c r="N376" s="17" t="str">
        <f>IF(RIGHT(StatusBranchGrade[[#This Row],[Which]], 1) = "2", StatusBranchGrade[[#This Row],[Key0]], "")</f>
        <v>Full-time Nat'l Guard  /  Army</v>
      </c>
      <c r="O376" s="17" t="s">
        <v>301</v>
      </c>
      <c r="P376" s="17"/>
      <c r="Q376" s="63">
        <f>--ISNUMBER(IF(StatusBranchGrade[[#This Row],[Sponsor0]] = 'Calculation Worksheet'!$AV$6 &amp; "  /  " &amp; 'Calculation Worksheet'!$AV$7, 1, ""))</f>
        <v>0</v>
      </c>
      <c r="R376" s="63" t="str">
        <f>IF(StatusBranchGrade[[#This Row],[S1]] = 1, COUNTIF($Q$3:Q376, 1), "")</f>
        <v/>
      </c>
      <c r="S376" s="63" t="str">
        <f>IFERROR(INDEX(StatusBranchGrade[Rank/Grade], MATCH(ROWS($R$3:R376)-1, StatusBranchGrade[S2], 0)), "") &amp; ""</f>
        <v/>
      </c>
      <c r="T376" s="63">
        <f>--ISNUMBER(IF(StatusBranchGrade[[#This Row],[Spouse0]] = 'Calculation Worksheet'!$CG$6 &amp; "  /  " &amp; 'Calculation Worksheet'!$CG$7, 1, ""))</f>
        <v>0</v>
      </c>
      <c r="U376" s="63" t="str">
        <f>IF(StatusBranchGrade[[#This Row],[T1]] = 1, COUNTIF($T$3:T376, 1), "")</f>
        <v/>
      </c>
      <c r="V376" s="63" t="str">
        <f>IFERROR(INDEX(StatusBranchGrade[Rank/Grade], MATCH(ROWS($U$3:U376)-1, StatusBranchGrade[T2], 0)), "") &amp; ""</f>
        <v/>
      </c>
      <c r="W376" s="63"/>
    </row>
    <row r="377" spans="1:23" x14ac:dyDescent="0.25">
      <c r="A377">
        <v>6</v>
      </c>
      <c r="B377" t="s">
        <v>390</v>
      </c>
      <c r="C377" t="s">
        <v>180</v>
      </c>
      <c r="D377" t="s">
        <v>92</v>
      </c>
      <c r="E377" t="str">
        <f>IF(StatusBranchGrade[[#This Row],[Status]] = "CYS", "DoD", StatusBranchGrade[[#This Row],[Rank]] &amp; "")</f>
        <v>W-5</v>
      </c>
      <c r="F377" t="s">
        <v>178</v>
      </c>
      <c r="G377" t="str">
        <f>IF(StatusBranchGrade[[#This Row],[Rank]] = StatusBranchGrade[[#This Row],[Grade]], StatusBranchGrade[[#This Row],[Rank]], StatusBranchGrade[[#This Row],[Grade]] &amp; "/" &amp; StatusBranchGrade[[#This Row],[Rank]]) &amp; ""</f>
        <v>MW5/W-5</v>
      </c>
      <c r="H37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MW5/W-5</v>
      </c>
      <c r="I377" s="17" t="str">
        <f>SUBSTITUTE(SUBSTITUTE(SUBSTITUTE(StatusBranchGrade[[#This Row],[Status]] &amp; "  /  " &amp; StatusBranchGrade[[#This Row],[Branch]] &amp; ";", "  /  ;", ";"), "  /  ;", ";"), ";", "")</f>
        <v>Full-time Nat'l Guard  /  Army</v>
      </c>
      <c r="J377">
        <v>12</v>
      </c>
      <c r="K377" s="17" t="str">
        <f>IF(LEFT(StatusBranchGrade[[#This Row],[Which]], 1) = "1", StatusBranchGrade[[#This Row],[Key]], "")</f>
        <v>Full-time Nat'l Guard  /  Army  /  MW5/W-5</v>
      </c>
      <c r="L377" s="17" t="str">
        <f>IF(LEFT(StatusBranchGrade[[#This Row],[Which]], 1) = "1", StatusBranchGrade[[#This Row],[Key0]], "")</f>
        <v>Full-time Nat'l Guard  /  Army</v>
      </c>
      <c r="M377" s="17" t="str">
        <f>IF(RIGHT(StatusBranchGrade[[#This Row],[Which]], 1) = "2", StatusBranchGrade[[#This Row],[Key]], "")</f>
        <v>Full-time Nat'l Guard  /  Army  /  MW5/W-5</v>
      </c>
      <c r="N377" s="17" t="str">
        <f>IF(RIGHT(StatusBranchGrade[[#This Row],[Which]], 1) = "2", StatusBranchGrade[[#This Row],[Key0]], "")</f>
        <v>Full-time Nat'l Guard  /  Army</v>
      </c>
      <c r="O377" s="17" t="s">
        <v>301</v>
      </c>
      <c r="P377" s="17"/>
      <c r="Q377" s="63">
        <f>--ISNUMBER(IF(StatusBranchGrade[[#This Row],[Sponsor0]] = 'Calculation Worksheet'!$AV$6 &amp; "  /  " &amp; 'Calculation Worksheet'!$AV$7, 1, ""))</f>
        <v>0</v>
      </c>
      <c r="R377" s="63" t="str">
        <f>IF(StatusBranchGrade[[#This Row],[S1]] = 1, COUNTIF($Q$3:Q377, 1), "")</f>
        <v/>
      </c>
      <c r="S377" s="63" t="str">
        <f>IFERROR(INDEX(StatusBranchGrade[Rank/Grade], MATCH(ROWS($R$3:R377)-1, StatusBranchGrade[S2], 0)), "") &amp; ""</f>
        <v/>
      </c>
      <c r="T377" s="63">
        <f>--ISNUMBER(IF(StatusBranchGrade[[#This Row],[Spouse0]] = 'Calculation Worksheet'!$CG$6 &amp; "  /  " &amp; 'Calculation Worksheet'!$CG$7, 1, ""))</f>
        <v>0</v>
      </c>
      <c r="U377" s="63" t="str">
        <f>IF(StatusBranchGrade[[#This Row],[T1]] = 1, COUNTIF($T$3:T377, 1), "")</f>
        <v/>
      </c>
      <c r="V377" s="63" t="str">
        <f>IFERROR(INDEX(StatusBranchGrade[Rank/Grade], MATCH(ROWS($U$3:U377)-1, StatusBranchGrade[T2], 0)), "") &amp; ""</f>
        <v/>
      </c>
      <c r="W377" s="63"/>
    </row>
    <row r="378" spans="1:23" x14ac:dyDescent="0.25">
      <c r="A378">
        <v>6</v>
      </c>
      <c r="B378" t="s">
        <v>390</v>
      </c>
      <c r="C378" t="s">
        <v>180</v>
      </c>
      <c r="D378" t="s">
        <v>91</v>
      </c>
      <c r="E378" t="str">
        <f>IF(StatusBranchGrade[[#This Row],[Status]] = "CYS", "DoD", StatusBranchGrade[[#This Row],[Rank]] &amp; "")</f>
        <v>O-1</v>
      </c>
      <c r="F378" t="s">
        <v>91</v>
      </c>
      <c r="G378" t="str">
        <f>IF(StatusBranchGrade[[#This Row],[Rank]] = StatusBranchGrade[[#This Row],[Grade]], StatusBranchGrade[[#This Row],[Rank]], StatusBranchGrade[[#This Row],[Grade]] &amp; "/" &amp; StatusBranchGrade[[#This Row],[Rank]]) &amp; ""</f>
        <v>O-1</v>
      </c>
      <c r="H37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O-1</v>
      </c>
      <c r="I378" s="17" t="str">
        <f>SUBSTITUTE(SUBSTITUTE(SUBSTITUTE(StatusBranchGrade[[#This Row],[Status]] &amp; "  /  " &amp; StatusBranchGrade[[#This Row],[Branch]] &amp; ";", "  /  ;", ";"), "  /  ;", ";"), ";", "")</f>
        <v>Full-time Nat'l Guard  /  Army</v>
      </c>
      <c r="J378">
        <v>12</v>
      </c>
      <c r="K378" s="17" t="str">
        <f>IF(LEFT(StatusBranchGrade[[#This Row],[Which]], 1) = "1", StatusBranchGrade[[#This Row],[Key]], "")</f>
        <v>Full-time Nat'l Guard  /  Army  /  O-1</v>
      </c>
      <c r="L378" s="17" t="str">
        <f>IF(LEFT(StatusBranchGrade[[#This Row],[Which]], 1) = "1", StatusBranchGrade[[#This Row],[Key0]], "")</f>
        <v>Full-time Nat'l Guard  /  Army</v>
      </c>
      <c r="M378" s="17" t="str">
        <f>IF(RIGHT(StatusBranchGrade[[#This Row],[Which]], 1) = "2", StatusBranchGrade[[#This Row],[Key]], "")</f>
        <v>Full-time Nat'l Guard  /  Army  /  O-1</v>
      </c>
      <c r="N378" s="17" t="str">
        <f>IF(RIGHT(StatusBranchGrade[[#This Row],[Which]], 1) = "2", StatusBranchGrade[[#This Row],[Key0]], "")</f>
        <v>Full-time Nat'l Guard  /  Army</v>
      </c>
      <c r="O378" s="17" t="s">
        <v>301</v>
      </c>
      <c r="P378" s="17"/>
      <c r="Q378" s="63">
        <f>--ISNUMBER(IF(StatusBranchGrade[[#This Row],[Sponsor0]] = 'Calculation Worksheet'!$AV$6 &amp; "  /  " &amp; 'Calculation Worksheet'!$AV$7, 1, ""))</f>
        <v>0</v>
      </c>
      <c r="R378" s="63" t="str">
        <f>IF(StatusBranchGrade[[#This Row],[S1]] = 1, COUNTIF($Q$3:Q378, 1), "")</f>
        <v/>
      </c>
      <c r="S378" s="63" t="str">
        <f>IFERROR(INDEX(StatusBranchGrade[Rank/Grade], MATCH(ROWS($R$3:R378)-1, StatusBranchGrade[S2], 0)), "") &amp; ""</f>
        <v/>
      </c>
      <c r="T378" s="63">
        <f>--ISNUMBER(IF(StatusBranchGrade[[#This Row],[Spouse0]] = 'Calculation Worksheet'!$CG$6 &amp; "  /  " &amp; 'Calculation Worksheet'!$CG$7, 1, ""))</f>
        <v>0</v>
      </c>
      <c r="U378" s="63" t="str">
        <f>IF(StatusBranchGrade[[#This Row],[T1]] = 1, COUNTIF($T$3:T378, 1), "")</f>
        <v/>
      </c>
      <c r="V378" s="63" t="str">
        <f>IFERROR(INDEX(StatusBranchGrade[Rank/Grade], MATCH(ROWS($U$3:U378)-1, StatusBranchGrade[T2], 0)), "") &amp; ""</f>
        <v/>
      </c>
      <c r="W378" s="63"/>
    </row>
    <row r="379" spans="1:23" x14ac:dyDescent="0.25">
      <c r="A379">
        <v>6</v>
      </c>
      <c r="B379" t="s">
        <v>390</v>
      </c>
      <c r="C379" t="s">
        <v>180</v>
      </c>
      <c r="D379" s="75" t="s">
        <v>10</v>
      </c>
      <c r="E379" s="75" t="str">
        <f>IF(StatusBranchGrade[[#This Row],[Status]] = "CYS", "DoD", StatusBranchGrade[[#This Row],[Rank]] &amp; "")</f>
        <v>O1E</v>
      </c>
      <c r="F379" s="75" t="s">
        <v>91</v>
      </c>
      <c r="G379" s="75" t="str">
        <f>IF(StatusBranchGrade[[#This Row],[Rank]] = StatusBranchGrade[[#This Row],[Grade]], StatusBranchGrade[[#This Row],[Rank]], StatusBranchGrade[[#This Row],[Grade]] &amp; "/" &amp; StatusBranchGrade[[#This Row],[Rank]]) &amp; ""</f>
        <v>O-1/O1E</v>
      </c>
      <c r="H37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O-1/O1E</v>
      </c>
      <c r="I379" s="17" t="str">
        <f>SUBSTITUTE(SUBSTITUTE(SUBSTITUTE(StatusBranchGrade[[#This Row],[Status]] &amp; "  /  " &amp; StatusBranchGrade[[#This Row],[Branch]] &amp; ";", "  /  ;", ";"), "  /  ;", ";"), ";", "")</f>
        <v>Full-time Nat'l Guard  /  Army</v>
      </c>
      <c r="J379">
        <v>12</v>
      </c>
      <c r="K379" s="17" t="str">
        <f>IF(LEFT(StatusBranchGrade[[#This Row],[Which]], 1) = "1", StatusBranchGrade[[#This Row],[Key]], "")</f>
        <v>Full-time Nat'l Guard  /  Army  /  O-1/O1E</v>
      </c>
      <c r="L379" s="17" t="str">
        <f>IF(LEFT(StatusBranchGrade[[#This Row],[Which]], 1) = "1", StatusBranchGrade[[#This Row],[Key0]], "")</f>
        <v>Full-time Nat'l Guard  /  Army</v>
      </c>
      <c r="M379" s="17" t="str">
        <f>IF(RIGHT(StatusBranchGrade[[#This Row],[Which]], 1) = "2", StatusBranchGrade[[#This Row],[Key]], "")</f>
        <v>Full-time Nat'l Guard  /  Army  /  O-1/O1E</v>
      </c>
      <c r="N379" s="17" t="str">
        <f>IF(RIGHT(StatusBranchGrade[[#This Row],[Which]], 1) = "2", StatusBranchGrade[[#This Row],[Key0]], "")</f>
        <v>Full-time Nat'l Guard  /  Army</v>
      </c>
      <c r="O379" s="17" t="s">
        <v>301</v>
      </c>
      <c r="P379" s="17"/>
      <c r="Q379" s="63">
        <f>--ISNUMBER(IF(StatusBranchGrade[[#This Row],[Sponsor0]] = 'Calculation Worksheet'!$AV$6 &amp; "  /  " &amp; 'Calculation Worksheet'!$AV$7, 1, ""))</f>
        <v>0</v>
      </c>
      <c r="R379" s="63" t="str">
        <f>IF(StatusBranchGrade[[#This Row],[S1]] = 1, COUNTIF($Q$3:Q379, 1), "")</f>
        <v/>
      </c>
      <c r="S379" s="63" t="str">
        <f>IFERROR(INDEX(StatusBranchGrade[Rank/Grade], MATCH(ROWS($R$3:R379)-1, StatusBranchGrade[S2], 0)), "") &amp; ""</f>
        <v/>
      </c>
      <c r="T379" s="63">
        <f>--ISNUMBER(IF(StatusBranchGrade[[#This Row],[Spouse0]] = 'Calculation Worksheet'!$CG$6 &amp; "  /  " &amp; 'Calculation Worksheet'!$CG$7, 1, ""))</f>
        <v>0</v>
      </c>
      <c r="U379" s="63" t="str">
        <f>IF(StatusBranchGrade[[#This Row],[T1]] = 1, COUNTIF($T$3:T379, 1), "")</f>
        <v/>
      </c>
      <c r="V379" s="63" t="str">
        <f>IFERROR(INDEX(StatusBranchGrade[Rank/Grade], MATCH(ROWS($U$3:U379)-1, StatusBranchGrade[T2], 0)), "") &amp; ""</f>
        <v/>
      </c>
      <c r="W379" s="63"/>
    </row>
    <row r="380" spans="1:23" x14ac:dyDescent="0.25">
      <c r="A380">
        <v>6</v>
      </c>
      <c r="B380" t="s">
        <v>390</v>
      </c>
      <c r="C380" t="s">
        <v>180</v>
      </c>
      <c r="D380" t="s">
        <v>82</v>
      </c>
      <c r="E380" t="str">
        <f>IF(StatusBranchGrade[[#This Row],[Status]] = "CYS", "DoD", StatusBranchGrade[[#This Row],[Rank]] &amp; "")</f>
        <v>O-10</v>
      </c>
      <c r="F380" t="s">
        <v>82</v>
      </c>
      <c r="G380" t="str">
        <f>IF(StatusBranchGrade[[#This Row],[Rank]] = StatusBranchGrade[[#This Row],[Grade]], StatusBranchGrade[[#This Row],[Rank]], StatusBranchGrade[[#This Row],[Grade]] &amp; "/" &amp; StatusBranchGrade[[#This Row],[Rank]]) &amp; ""</f>
        <v>O-10</v>
      </c>
      <c r="H38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O-10</v>
      </c>
      <c r="I380" s="17" t="str">
        <f>SUBSTITUTE(SUBSTITUTE(SUBSTITUTE(StatusBranchGrade[[#This Row],[Status]] &amp; "  /  " &amp; StatusBranchGrade[[#This Row],[Branch]] &amp; ";", "  /  ;", ";"), "  /  ;", ";"), ";", "")</f>
        <v>Full-time Nat'l Guard  /  Army</v>
      </c>
      <c r="J380">
        <v>12</v>
      </c>
      <c r="K380" s="17" t="str">
        <f>IF(LEFT(StatusBranchGrade[[#This Row],[Which]], 1) = "1", StatusBranchGrade[[#This Row],[Key]], "")</f>
        <v>Full-time Nat'l Guard  /  Army  /  O-10</v>
      </c>
      <c r="L380" s="17" t="str">
        <f>IF(LEFT(StatusBranchGrade[[#This Row],[Which]], 1) = "1", StatusBranchGrade[[#This Row],[Key0]], "")</f>
        <v>Full-time Nat'l Guard  /  Army</v>
      </c>
      <c r="M380" s="17" t="str">
        <f>IF(RIGHT(StatusBranchGrade[[#This Row],[Which]], 1) = "2", StatusBranchGrade[[#This Row],[Key]], "")</f>
        <v>Full-time Nat'l Guard  /  Army  /  O-10</v>
      </c>
      <c r="N380" s="17" t="str">
        <f>IF(RIGHT(StatusBranchGrade[[#This Row],[Which]], 1) = "2", StatusBranchGrade[[#This Row],[Key0]], "")</f>
        <v>Full-time Nat'l Guard  /  Army</v>
      </c>
      <c r="O380" s="17" t="s">
        <v>301</v>
      </c>
      <c r="P380" s="17"/>
      <c r="Q380" s="63">
        <f>--ISNUMBER(IF(StatusBranchGrade[[#This Row],[Sponsor0]] = 'Calculation Worksheet'!$AV$6 &amp; "  /  " &amp; 'Calculation Worksheet'!$AV$7, 1, ""))</f>
        <v>0</v>
      </c>
      <c r="R380" s="63" t="str">
        <f>IF(StatusBranchGrade[[#This Row],[S1]] = 1, COUNTIF($Q$3:Q380, 1), "")</f>
        <v/>
      </c>
      <c r="S380" s="63" t="str">
        <f>IFERROR(INDEX(StatusBranchGrade[Rank/Grade], MATCH(ROWS($R$3:R380)-1, StatusBranchGrade[S2], 0)), "") &amp; ""</f>
        <v/>
      </c>
      <c r="T380" s="63">
        <f>--ISNUMBER(IF(StatusBranchGrade[[#This Row],[Spouse0]] = 'Calculation Worksheet'!$CG$6 &amp; "  /  " &amp; 'Calculation Worksheet'!$CG$7, 1, ""))</f>
        <v>0</v>
      </c>
      <c r="U380" s="63" t="str">
        <f>IF(StatusBranchGrade[[#This Row],[T1]] = 1, COUNTIF($T$3:T380, 1), "")</f>
        <v/>
      </c>
      <c r="V380" s="63" t="str">
        <f>IFERROR(INDEX(StatusBranchGrade[Rank/Grade], MATCH(ROWS($U$3:U380)-1, StatusBranchGrade[T2], 0)), "") &amp; ""</f>
        <v/>
      </c>
      <c r="W380" s="63"/>
    </row>
    <row r="381" spans="1:23" x14ac:dyDescent="0.25">
      <c r="A381">
        <v>6</v>
      </c>
      <c r="B381" t="s">
        <v>390</v>
      </c>
      <c r="C381" t="s">
        <v>180</v>
      </c>
      <c r="D381" t="s">
        <v>90</v>
      </c>
      <c r="E381" t="str">
        <f>IF(StatusBranchGrade[[#This Row],[Status]] = "CYS", "DoD", StatusBranchGrade[[#This Row],[Rank]] &amp; "")</f>
        <v>O-2</v>
      </c>
      <c r="F381" t="s">
        <v>90</v>
      </c>
      <c r="G381" t="str">
        <f>IF(StatusBranchGrade[[#This Row],[Rank]] = StatusBranchGrade[[#This Row],[Grade]], StatusBranchGrade[[#This Row],[Rank]], StatusBranchGrade[[#This Row],[Grade]] &amp; "/" &amp; StatusBranchGrade[[#This Row],[Rank]]) &amp; ""</f>
        <v>O-2</v>
      </c>
      <c r="H38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O-2</v>
      </c>
      <c r="I381" s="17" t="str">
        <f>SUBSTITUTE(SUBSTITUTE(SUBSTITUTE(StatusBranchGrade[[#This Row],[Status]] &amp; "  /  " &amp; StatusBranchGrade[[#This Row],[Branch]] &amp; ";", "  /  ;", ";"), "  /  ;", ";"), ";", "")</f>
        <v>Full-time Nat'l Guard  /  Army</v>
      </c>
      <c r="J381">
        <v>12</v>
      </c>
      <c r="K381" s="17" t="str">
        <f>IF(LEFT(StatusBranchGrade[[#This Row],[Which]], 1) = "1", StatusBranchGrade[[#This Row],[Key]], "")</f>
        <v>Full-time Nat'l Guard  /  Army  /  O-2</v>
      </c>
      <c r="L381" s="17" t="str">
        <f>IF(LEFT(StatusBranchGrade[[#This Row],[Which]], 1) = "1", StatusBranchGrade[[#This Row],[Key0]], "")</f>
        <v>Full-time Nat'l Guard  /  Army</v>
      </c>
      <c r="M381" s="17" t="str">
        <f>IF(RIGHT(StatusBranchGrade[[#This Row],[Which]], 1) = "2", StatusBranchGrade[[#This Row],[Key]], "")</f>
        <v>Full-time Nat'l Guard  /  Army  /  O-2</v>
      </c>
      <c r="N381" s="17" t="str">
        <f>IF(RIGHT(StatusBranchGrade[[#This Row],[Which]], 1) = "2", StatusBranchGrade[[#This Row],[Key0]], "")</f>
        <v>Full-time Nat'l Guard  /  Army</v>
      </c>
      <c r="O381" s="17" t="s">
        <v>301</v>
      </c>
      <c r="P381" s="17"/>
      <c r="Q381" s="63">
        <f>--ISNUMBER(IF(StatusBranchGrade[[#This Row],[Sponsor0]] = 'Calculation Worksheet'!$AV$6 &amp; "  /  " &amp; 'Calculation Worksheet'!$AV$7, 1, ""))</f>
        <v>0</v>
      </c>
      <c r="R381" s="63" t="str">
        <f>IF(StatusBranchGrade[[#This Row],[S1]] = 1, COUNTIF($Q$3:Q381, 1), "")</f>
        <v/>
      </c>
      <c r="S381" s="63" t="str">
        <f>IFERROR(INDEX(StatusBranchGrade[Rank/Grade], MATCH(ROWS($R$3:R381)-1, StatusBranchGrade[S2], 0)), "") &amp; ""</f>
        <v/>
      </c>
      <c r="T381" s="63">
        <f>--ISNUMBER(IF(StatusBranchGrade[[#This Row],[Spouse0]] = 'Calculation Worksheet'!$CG$6 &amp; "  /  " &amp; 'Calculation Worksheet'!$CG$7, 1, ""))</f>
        <v>0</v>
      </c>
      <c r="U381" s="63" t="str">
        <f>IF(StatusBranchGrade[[#This Row],[T1]] = 1, COUNTIF($T$3:T381, 1), "")</f>
        <v/>
      </c>
      <c r="V381" s="63" t="str">
        <f>IFERROR(INDEX(StatusBranchGrade[Rank/Grade], MATCH(ROWS($U$3:U381)-1, StatusBranchGrade[T2], 0)), "") &amp; ""</f>
        <v/>
      </c>
      <c r="W381" s="63"/>
    </row>
    <row r="382" spans="1:23" x14ac:dyDescent="0.25">
      <c r="A382">
        <v>6</v>
      </c>
      <c r="B382" t="s">
        <v>390</v>
      </c>
      <c r="C382" t="s">
        <v>180</v>
      </c>
      <c r="D382" s="75" t="s">
        <v>11</v>
      </c>
      <c r="E382" s="75" t="str">
        <f>IF(StatusBranchGrade[[#This Row],[Status]] = "CYS", "DoD", StatusBranchGrade[[#This Row],[Rank]] &amp; "")</f>
        <v>O2E</v>
      </c>
      <c r="F382" s="75" t="s">
        <v>90</v>
      </c>
      <c r="G382" s="75" t="str">
        <f>IF(StatusBranchGrade[[#This Row],[Rank]] = StatusBranchGrade[[#This Row],[Grade]], StatusBranchGrade[[#This Row],[Rank]], StatusBranchGrade[[#This Row],[Grade]] &amp; "/" &amp; StatusBranchGrade[[#This Row],[Rank]]) &amp; ""</f>
        <v>O-2/O2E</v>
      </c>
      <c r="H38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O-2/O2E</v>
      </c>
      <c r="I382" s="17" t="str">
        <f>SUBSTITUTE(SUBSTITUTE(SUBSTITUTE(StatusBranchGrade[[#This Row],[Status]] &amp; "  /  " &amp; StatusBranchGrade[[#This Row],[Branch]] &amp; ";", "  /  ;", ";"), "  /  ;", ";"), ";", "")</f>
        <v>Full-time Nat'l Guard  /  Army</v>
      </c>
      <c r="J382">
        <v>12</v>
      </c>
      <c r="K382" s="17" t="str">
        <f>IF(LEFT(StatusBranchGrade[[#This Row],[Which]], 1) = "1", StatusBranchGrade[[#This Row],[Key]], "")</f>
        <v>Full-time Nat'l Guard  /  Army  /  O-2/O2E</v>
      </c>
      <c r="L382" s="17" t="str">
        <f>IF(LEFT(StatusBranchGrade[[#This Row],[Which]], 1) = "1", StatusBranchGrade[[#This Row],[Key0]], "")</f>
        <v>Full-time Nat'l Guard  /  Army</v>
      </c>
      <c r="M382" s="17" t="str">
        <f>IF(RIGHT(StatusBranchGrade[[#This Row],[Which]], 1) = "2", StatusBranchGrade[[#This Row],[Key]], "")</f>
        <v>Full-time Nat'l Guard  /  Army  /  O-2/O2E</v>
      </c>
      <c r="N382" s="17" t="str">
        <f>IF(RIGHT(StatusBranchGrade[[#This Row],[Which]], 1) = "2", StatusBranchGrade[[#This Row],[Key0]], "")</f>
        <v>Full-time Nat'l Guard  /  Army</v>
      </c>
      <c r="O382" s="17" t="s">
        <v>301</v>
      </c>
      <c r="P382" s="17"/>
      <c r="Q382" s="63">
        <f>--ISNUMBER(IF(StatusBranchGrade[[#This Row],[Sponsor0]] = 'Calculation Worksheet'!$AV$6 &amp; "  /  " &amp; 'Calculation Worksheet'!$AV$7, 1, ""))</f>
        <v>0</v>
      </c>
      <c r="R382" s="63" t="str">
        <f>IF(StatusBranchGrade[[#This Row],[S1]] = 1, COUNTIF($Q$3:Q382, 1), "")</f>
        <v/>
      </c>
      <c r="S382" s="63" t="str">
        <f>IFERROR(INDEX(StatusBranchGrade[Rank/Grade], MATCH(ROWS($R$3:R382)-1, StatusBranchGrade[S2], 0)), "") &amp; ""</f>
        <v/>
      </c>
      <c r="T382" s="63">
        <f>--ISNUMBER(IF(StatusBranchGrade[[#This Row],[Spouse0]] = 'Calculation Worksheet'!$CG$6 &amp; "  /  " &amp; 'Calculation Worksheet'!$CG$7, 1, ""))</f>
        <v>0</v>
      </c>
      <c r="U382" s="63" t="str">
        <f>IF(StatusBranchGrade[[#This Row],[T1]] = 1, COUNTIF($T$3:T382, 1), "")</f>
        <v/>
      </c>
      <c r="V382" s="63" t="str">
        <f>IFERROR(INDEX(StatusBranchGrade[Rank/Grade], MATCH(ROWS($U$3:U382)-1, StatusBranchGrade[T2], 0)), "") &amp; ""</f>
        <v/>
      </c>
      <c r="W382" s="63"/>
    </row>
    <row r="383" spans="1:23" x14ac:dyDescent="0.25">
      <c r="A383">
        <v>6</v>
      </c>
      <c r="B383" t="s">
        <v>390</v>
      </c>
      <c r="C383" t="s">
        <v>180</v>
      </c>
      <c r="D383" t="s">
        <v>89</v>
      </c>
      <c r="E383" t="str">
        <f>IF(StatusBranchGrade[[#This Row],[Status]] = "CYS", "DoD", StatusBranchGrade[[#This Row],[Rank]] &amp; "")</f>
        <v>O-3</v>
      </c>
      <c r="F383" t="s">
        <v>89</v>
      </c>
      <c r="G383" t="str">
        <f>IF(StatusBranchGrade[[#This Row],[Rank]] = StatusBranchGrade[[#This Row],[Grade]], StatusBranchGrade[[#This Row],[Rank]], StatusBranchGrade[[#This Row],[Grade]] &amp; "/" &amp; StatusBranchGrade[[#This Row],[Rank]]) &amp; ""</f>
        <v>O-3</v>
      </c>
      <c r="H38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O-3</v>
      </c>
      <c r="I383" s="17" t="str">
        <f>SUBSTITUTE(SUBSTITUTE(SUBSTITUTE(StatusBranchGrade[[#This Row],[Status]] &amp; "  /  " &amp; StatusBranchGrade[[#This Row],[Branch]] &amp; ";", "  /  ;", ";"), "  /  ;", ";"), ";", "")</f>
        <v>Full-time Nat'l Guard  /  Army</v>
      </c>
      <c r="J383">
        <v>12</v>
      </c>
      <c r="K383" s="17" t="str">
        <f>IF(LEFT(StatusBranchGrade[[#This Row],[Which]], 1) = "1", StatusBranchGrade[[#This Row],[Key]], "")</f>
        <v>Full-time Nat'l Guard  /  Army  /  O-3</v>
      </c>
      <c r="L383" s="17" t="str">
        <f>IF(LEFT(StatusBranchGrade[[#This Row],[Which]], 1) = "1", StatusBranchGrade[[#This Row],[Key0]], "")</f>
        <v>Full-time Nat'l Guard  /  Army</v>
      </c>
      <c r="M383" s="17" t="str">
        <f>IF(RIGHT(StatusBranchGrade[[#This Row],[Which]], 1) = "2", StatusBranchGrade[[#This Row],[Key]], "")</f>
        <v>Full-time Nat'l Guard  /  Army  /  O-3</v>
      </c>
      <c r="N383" s="17" t="str">
        <f>IF(RIGHT(StatusBranchGrade[[#This Row],[Which]], 1) = "2", StatusBranchGrade[[#This Row],[Key0]], "")</f>
        <v>Full-time Nat'l Guard  /  Army</v>
      </c>
      <c r="O383" s="17" t="s">
        <v>301</v>
      </c>
      <c r="P383" s="17"/>
      <c r="Q383" s="63">
        <f>--ISNUMBER(IF(StatusBranchGrade[[#This Row],[Sponsor0]] = 'Calculation Worksheet'!$AV$6 &amp; "  /  " &amp; 'Calculation Worksheet'!$AV$7, 1, ""))</f>
        <v>0</v>
      </c>
      <c r="R383" s="63" t="str">
        <f>IF(StatusBranchGrade[[#This Row],[S1]] = 1, COUNTIF($Q$3:Q383, 1), "")</f>
        <v/>
      </c>
      <c r="S383" s="63" t="str">
        <f>IFERROR(INDEX(StatusBranchGrade[Rank/Grade], MATCH(ROWS($R$3:R383)-1, StatusBranchGrade[S2], 0)), "") &amp; ""</f>
        <v/>
      </c>
      <c r="T383" s="63">
        <f>--ISNUMBER(IF(StatusBranchGrade[[#This Row],[Spouse0]] = 'Calculation Worksheet'!$CG$6 &amp; "  /  " &amp; 'Calculation Worksheet'!$CG$7, 1, ""))</f>
        <v>0</v>
      </c>
      <c r="U383" s="63" t="str">
        <f>IF(StatusBranchGrade[[#This Row],[T1]] = 1, COUNTIF($T$3:T383, 1), "")</f>
        <v/>
      </c>
      <c r="V383" s="63" t="str">
        <f>IFERROR(INDEX(StatusBranchGrade[Rank/Grade], MATCH(ROWS($U$3:U383)-1, StatusBranchGrade[T2], 0)), "") &amp; ""</f>
        <v/>
      </c>
      <c r="W383" s="63"/>
    </row>
    <row r="384" spans="1:23" x14ac:dyDescent="0.25">
      <c r="A384">
        <v>6</v>
      </c>
      <c r="B384" t="s">
        <v>390</v>
      </c>
      <c r="C384" t="s">
        <v>180</v>
      </c>
      <c r="D384" s="75" t="s">
        <v>12</v>
      </c>
      <c r="E384" s="75" t="str">
        <f>IF(StatusBranchGrade[[#This Row],[Status]] = "CYS", "DoD", StatusBranchGrade[[#This Row],[Rank]] &amp; "")</f>
        <v>O3E</v>
      </c>
      <c r="F384" s="75" t="s">
        <v>89</v>
      </c>
      <c r="G384" s="75" t="str">
        <f>IF(StatusBranchGrade[[#This Row],[Rank]] = StatusBranchGrade[[#This Row],[Grade]], StatusBranchGrade[[#This Row],[Rank]], StatusBranchGrade[[#This Row],[Grade]] &amp; "/" &amp; StatusBranchGrade[[#This Row],[Rank]]) &amp; ""</f>
        <v>O-3/O3E</v>
      </c>
      <c r="H38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O-3/O3E</v>
      </c>
      <c r="I384" s="17" t="str">
        <f>SUBSTITUTE(SUBSTITUTE(SUBSTITUTE(StatusBranchGrade[[#This Row],[Status]] &amp; "  /  " &amp; StatusBranchGrade[[#This Row],[Branch]] &amp; ";", "  /  ;", ";"), "  /  ;", ";"), ";", "")</f>
        <v>Full-time Nat'l Guard  /  Army</v>
      </c>
      <c r="J384">
        <v>12</v>
      </c>
      <c r="K384" s="17" t="str">
        <f>IF(LEFT(StatusBranchGrade[[#This Row],[Which]], 1) = "1", StatusBranchGrade[[#This Row],[Key]], "")</f>
        <v>Full-time Nat'l Guard  /  Army  /  O-3/O3E</v>
      </c>
      <c r="L384" s="17" t="str">
        <f>IF(LEFT(StatusBranchGrade[[#This Row],[Which]], 1) = "1", StatusBranchGrade[[#This Row],[Key0]], "")</f>
        <v>Full-time Nat'l Guard  /  Army</v>
      </c>
      <c r="M384" s="17" t="str">
        <f>IF(RIGHT(StatusBranchGrade[[#This Row],[Which]], 1) = "2", StatusBranchGrade[[#This Row],[Key]], "")</f>
        <v>Full-time Nat'l Guard  /  Army  /  O-3/O3E</v>
      </c>
      <c r="N384" s="17" t="str">
        <f>IF(RIGHT(StatusBranchGrade[[#This Row],[Which]], 1) = "2", StatusBranchGrade[[#This Row],[Key0]], "")</f>
        <v>Full-time Nat'l Guard  /  Army</v>
      </c>
      <c r="O384" s="17" t="s">
        <v>301</v>
      </c>
      <c r="P384" s="17"/>
      <c r="Q384" s="63">
        <f>--ISNUMBER(IF(StatusBranchGrade[[#This Row],[Sponsor0]] = 'Calculation Worksheet'!$AV$6 &amp; "  /  " &amp; 'Calculation Worksheet'!$AV$7, 1, ""))</f>
        <v>0</v>
      </c>
      <c r="R384" s="63" t="str">
        <f>IF(StatusBranchGrade[[#This Row],[S1]] = 1, COUNTIF($Q$3:Q384, 1), "")</f>
        <v/>
      </c>
      <c r="S384" s="63" t="str">
        <f>IFERROR(INDEX(StatusBranchGrade[Rank/Grade], MATCH(ROWS($R$3:R384)-1, StatusBranchGrade[S2], 0)), "") &amp; ""</f>
        <v/>
      </c>
      <c r="T384" s="63">
        <f>--ISNUMBER(IF(StatusBranchGrade[[#This Row],[Spouse0]] = 'Calculation Worksheet'!$CG$6 &amp; "  /  " &amp; 'Calculation Worksheet'!$CG$7, 1, ""))</f>
        <v>0</v>
      </c>
      <c r="U384" s="63" t="str">
        <f>IF(StatusBranchGrade[[#This Row],[T1]] = 1, COUNTIF($T$3:T384, 1), "")</f>
        <v/>
      </c>
      <c r="V384" s="63" t="str">
        <f>IFERROR(INDEX(StatusBranchGrade[Rank/Grade], MATCH(ROWS($U$3:U384)-1, StatusBranchGrade[T2], 0)), "") &amp; ""</f>
        <v/>
      </c>
      <c r="W384" s="63"/>
    </row>
    <row r="385" spans="1:23" x14ac:dyDescent="0.25">
      <c r="A385">
        <v>6</v>
      </c>
      <c r="B385" t="s">
        <v>390</v>
      </c>
      <c r="C385" t="s">
        <v>180</v>
      </c>
      <c r="D385" t="s">
        <v>88</v>
      </c>
      <c r="E385" t="str">
        <f>IF(StatusBranchGrade[[#This Row],[Status]] = "CYS", "DoD", StatusBranchGrade[[#This Row],[Rank]] &amp; "")</f>
        <v>O-4</v>
      </c>
      <c r="F385" t="s">
        <v>88</v>
      </c>
      <c r="G385" t="str">
        <f>IF(StatusBranchGrade[[#This Row],[Rank]] = StatusBranchGrade[[#This Row],[Grade]], StatusBranchGrade[[#This Row],[Rank]], StatusBranchGrade[[#This Row],[Grade]] &amp; "/" &amp; StatusBranchGrade[[#This Row],[Rank]]) &amp; ""</f>
        <v>O-4</v>
      </c>
      <c r="H38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O-4</v>
      </c>
      <c r="I385" s="17" t="str">
        <f>SUBSTITUTE(SUBSTITUTE(SUBSTITUTE(StatusBranchGrade[[#This Row],[Status]] &amp; "  /  " &amp; StatusBranchGrade[[#This Row],[Branch]] &amp; ";", "  /  ;", ";"), "  /  ;", ";"), ";", "")</f>
        <v>Full-time Nat'l Guard  /  Army</v>
      </c>
      <c r="J385">
        <v>12</v>
      </c>
      <c r="K385" s="17" t="str">
        <f>IF(LEFT(StatusBranchGrade[[#This Row],[Which]], 1) = "1", StatusBranchGrade[[#This Row],[Key]], "")</f>
        <v>Full-time Nat'l Guard  /  Army  /  O-4</v>
      </c>
      <c r="L385" s="17" t="str">
        <f>IF(LEFT(StatusBranchGrade[[#This Row],[Which]], 1) = "1", StatusBranchGrade[[#This Row],[Key0]], "")</f>
        <v>Full-time Nat'l Guard  /  Army</v>
      </c>
      <c r="M385" s="17" t="str">
        <f>IF(RIGHT(StatusBranchGrade[[#This Row],[Which]], 1) = "2", StatusBranchGrade[[#This Row],[Key]], "")</f>
        <v>Full-time Nat'l Guard  /  Army  /  O-4</v>
      </c>
      <c r="N385" s="17" t="str">
        <f>IF(RIGHT(StatusBranchGrade[[#This Row],[Which]], 1) = "2", StatusBranchGrade[[#This Row],[Key0]], "")</f>
        <v>Full-time Nat'l Guard  /  Army</v>
      </c>
      <c r="O385" s="17" t="s">
        <v>301</v>
      </c>
      <c r="P385" s="17"/>
      <c r="Q385" s="63">
        <f>--ISNUMBER(IF(StatusBranchGrade[[#This Row],[Sponsor0]] = 'Calculation Worksheet'!$AV$6 &amp; "  /  " &amp; 'Calculation Worksheet'!$AV$7, 1, ""))</f>
        <v>0</v>
      </c>
      <c r="R385" s="63" t="str">
        <f>IF(StatusBranchGrade[[#This Row],[S1]] = 1, COUNTIF($Q$3:Q385, 1), "")</f>
        <v/>
      </c>
      <c r="S385" s="63" t="str">
        <f>IFERROR(INDEX(StatusBranchGrade[Rank/Grade], MATCH(ROWS($R$3:R385)-1, StatusBranchGrade[S2], 0)), "") &amp; ""</f>
        <v/>
      </c>
      <c r="T385" s="63">
        <f>--ISNUMBER(IF(StatusBranchGrade[[#This Row],[Spouse0]] = 'Calculation Worksheet'!$CG$6 &amp; "  /  " &amp; 'Calculation Worksheet'!$CG$7, 1, ""))</f>
        <v>0</v>
      </c>
      <c r="U385" s="63" t="str">
        <f>IF(StatusBranchGrade[[#This Row],[T1]] = 1, COUNTIF($T$3:T385, 1), "")</f>
        <v/>
      </c>
      <c r="V385" s="63" t="str">
        <f>IFERROR(INDEX(StatusBranchGrade[Rank/Grade], MATCH(ROWS($U$3:U385)-1, StatusBranchGrade[T2], 0)), "") &amp; ""</f>
        <v/>
      </c>
      <c r="W385" s="63"/>
    </row>
    <row r="386" spans="1:23" x14ac:dyDescent="0.25">
      <c r="A386">
        <v>6</v>
      </c>
      <c r="B386" t="s">
        <v>390</v>
      </c>
      <c r="C386" t="s">
        <v>180</v>
      </c>
      <c r="D386" t="s">
        <v>87</v>
      </c>
      <c r="E386" t="str">
        <f>IF(StatusBranchGrade[[#This Row],[Status]] = "CYS", "DoD", StatusBranchGrade[[#This Row],[Rank]] &amp; "")</f>
        <v>O-5</v>
      </c>
      <c r="F386" t="s">
        <v>87</v>
      </c>
      <c r="G386" t="str">
        <f>IF(StatusBranchGrade[[#This Row],[Rank]] = StatusBranchGrade[[#This Row],[Grade]], StatusBranchGrade[[#This Row],[Rank]], StatusBranchGrade[[#This Row],[Grade]] &amp; "/" &amp; StatusBranchGrade[[#This Row],[Rank]]) &amp; ""</f>
        <v>O-5</v>
      </c>
      <c r="H38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O-5</v>
      </c>
      <c r="I386" s="17" t="str">
        <f>SUBSTITUTE(SUBSTITUTE(SUBSTITUTE(StatusBranchGrade[[#This Row],[Status]] &amp; "  /  " &amp; StatusBranchGrade[[#This Row],[Branch]] &amp; ";", "  /  ;", ";"), "  /  ;", ";"), ";", "")</f>
        <v>Full-time Nat'l Guard  /  Army</v>
      </c>
      <c r="J386">
        <v>12</v>
      </c>
      <c r="K386" s="17" t="str">
        <f>IF(LEFT(StatusBranchGrade[[#This Row],[Which]], 1) = "1", StatusBranchGrade[[#This Row],[Key]], "")</f>
        <v>Full-time Nat'l Guard  /  Army  /  O-5</v>
      </c>
      <c r="L386" s="17" t="str">
        <f>IF(LEFT(StatusBranchGrade[[#This Row],[Which]], 1) = "1", StatusBranchGrade[[#This Row],[Key0]], "")</f>
        <v>Full-time Nat'l Guard  /  Army</v>
      </c>
      <c r="M386" s="17" t="str">
        <f>IF(RIGHT(StatusBranchGrade[[#This Row],[Which]], 1) = "2", StatusBranchGrade[[#This Row],[Key]], "")</f>
        <v>Full-time Nat'l Guard  /  Army  /  O-5</v>
      </c>
      <c r="N386" s="17" t="str">
        <f>IF(RIGHT(StatusBranchGrade[[#This Row],[Which]], 1) = "2", StatusBranchGrade[[#This Row],[Key0]], "")</f>
        <v>Full-time Nat'l Guard  /  Army</v>
      </c>
      <c r="O386" s="17" t="s">
        <v>301</v>
      </c>
      <c r="P386" s="17"/>
      <c r="Q386" s="63">
        <f>--ISNUMBER(IF(StatusBranchGrade[[#This Row],[Sponsor0]] = 'Calculation Worksheet'!$AV$6 &amp; "  /  " &amp; 'Calculation Worksheet'!$AV$7, 1, ""))</f>
        <v>0</v>
      </c>
      <c r="R386" s="63" t="str">
        <f>IF(StatusBranchGrade[[#This Row],[S1]] = 1, COUNTIF($Q$3:Q386, 1), "")</f>
        <v/>
      </c>
      <c r="S386" s="63" t="str">
        <f>IFERROR(INDEX(StatusBranchGrade[Rank/Grade], MATCH(ROWS($R$3:R386)-1, StatusBranchGrade[S2], 0)), "") &amp; ""</f>
        <v/>
      </c>
      <c r="T386" s="63">
        <f>--ISNUMBER(IF(StatusBranchGrade[[#This Row],[Spouse0]] = 'Calculation Worksheet'!$CG$6 &amp; "  /  " &amp; 'Calculation Worksheet'!$CG$7, 1, ""))</f>
        <v>0</v>
      </c>
      <c r="U386" s="63" t="str">
        <f>IF(StatusBranchGrade[[#This Row],[T1]] = 1, COUNTIF($T$3:T386, 1), "")</f>
        <v/>
      </c>
      <c r="V386" s="63" t="str">
        <f>IFERROR(INDEX(StatusBranchGrade[Rank/Grade], MATCH(ROWS($U$3:U386)-1, StatusBranchGrade[T2], 0)), "") &amp; ""</f>
        <v/>
      </c>
      <c r="W386" s="63"/>
    </row>
    <row r="387" spans="1:23" x14ac:dyDescent="0.25">
      <c r="A387">
        <v>6</v>
      </c>
      <c r="B387" t="s">
        <v>390</v>
      </c>
      <c r="C387" t="s">
        <v>180</v>
      </c>
      <c r="D387" t="s">
        <v>86</v>
      </c>
      <c r="E387" t="str">
        <f>IF(StatusBranchGrade[[#This Row],[Status]] = "CYS", "DoD", StatusBranchGrade[[#This Row],[Rank]] &amp; "")</f>
        <v>O-6</v>
      </c>
      <c r="F387" t="s">
        <v>86</v>
      </c>
      <c r="G387" t="str">
        <f>IF(StatusBranchGrade[[#This Row],[Rank]] = StatusBranchGrade[[#This Row],[Grade]], StatusBranchGrade[[#This Row],[Rank]], StatusBranchGrade[[#This Row],[Grade]] &amp; "/" &amp; StatusBranchGrade[[#This Row],[Rank]]) &amp; ""</f>
        <v>O-6</v>
      </c>
      <c r="H38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O-6</v>
      </c>
      <c r="I387" s="17" t="str">
        <f>SUBSTITUTE(SUBSTITUTE(SUBSTITUTE(StatusBranchGrade[[#This Row],[Status]] &amp; "  /  " &amp; StatusBranchGrade[[#This Row],[Branch]] &amp; ";", "  /  ;", ";"), "  /  ;", ";"), ";", "")</f>
        <v>Full-time Nat'l Guard  /  Army</v>
      </c>
      <c r="J387">
        <v>12</v>
      </c>
      <c r="K387" s="17" t="str">
        <f>IF(LEFT(StatusBranchGrade[[#This Row],[Which]], 1) = "1", StatusBranchGrade[[#This Row],[Key]], "")</f>
        <v>Full-time Nat'l Guard  /  Army  /  O-6</v>
      </c>
      <c r="L387" s="17" t="str">
        <f>IF(LEFT(StatusBranchGrade[[#This Row],[Which]], 1) = "1", StatusBranchGrade[[#This Row],[Key0]], "")</f>
        <v>Full-time Nat'l Guard  /  Army</v>
      </c>
      <c r="M387" s="17" t="str">
        <f>IF(RIGHT(StatusBranchGrade[[#This Row],[Which]], 1) = "2", StatusBranchGrade[[#This Row],[Key]], "")</f>
        <v>Full-time Nat'l Guard  /  Army  /  O-6</v>
      </c>
      <c r="N387" s="17" t="str">
        <f>IF(RIGHT(StatusBranchGrade[[#This Row],[Which]], 1) = "2", StatusBranchGrade[[#This Row],[Key0]], "")</f>
        <v>Full-time Nat'l Guard  /  Army</v>
      </c>
      <c r="O387" s="17" t="s">
        <v>301</v>
      </c>
      <c r="P387" s="17"/>
      <c r="Q387" s="63">
        <f>--ISNUMBER(IF(StatusBranchGrade[[#This Row],[Sponsor0]] = 'Calculation Worksheet'!$AV$6 &amp; "  /  " &amp; 'Calculation Worksheet'!$AV$7, 1, ""))</f>
        <v>0</v>
      </c>
      <c r="R387" s="63" t="str">
        <f>IF(StatusBranchGrade[[#This Row],[S1]] = 1, COUNTIF($Q$3:Q387, 1), "")</f>
        <v/>
      </c>
      <c r="S387" s="63" t="str">
        <f>IFERROR(INDEX(StatusBranchGrade[Rank/Grade], MATCH(ROWS($R$3:R387)-1, StatusBranchGrade[S2], 0)), "") &amp; ""</f>
        <v/>
      </c>
      <c r="T387" s="63">
        <f>--ISNUMBER(IF(StatusBranchGrade[[#This Row],[Spouse0]] = 'Calculation Worksheet'!$CG$6 &amp; "  /  " &amp; 'Calculation Worksheet'!$CG$7, 1, ""))</f>
        <v>0</v>
      </c>
      <c r="U387" s="63" t="str">
        <f>IF(StatusBranchGrade[[#This Row],[T1]] = 1, COUNTIF($T$3:T387, 1), "")</f>
        <v/>
      </c>
      <c r="V387" s="63" t="str">
        <f>IFERROR(INDEX(StatusBranchGrade[Rank/Grade], MATCH(ROWS($U$3:U387)-1, StatusBranchGrade[T2], 0)), "") &amp; ""</f>
        <v/>
      </c>
      <c r="W387" s="63"/>
    </row>
    <row r="388" spans="1:23" x14ac:dyDescent="0.25">
      <c r="A388">
        <v>6</v>
      </c>
      <c r="B388" t="s">
        <v>390</v>
      </c>
      <c r="C388" t="s">
        <v>180</v>
      </c>
      <c r="D388" t="s">
        <v>85</v>
      </c>
      <c r="E388" t="str">
        <f>IF(StatusBranchGrade[[#This Row],[Status]] = "CYS", "DoD", StatusBranchGrade[[#This Row],[Rank]] &amp; "")</f>
        <v>O-7</v>
      </c>
      <c r="F388" t="s">
        <v>85</v>
      </c>
      <c r="G388" t="str">
        <f>IF(StatusBranchGrade[[#This Row],[Rank]] = StatusBranchGrade[[#This Row],[Grade]], StatusBranchGrade[[#This Row],[Rank]], StatusBranchGrade[[#This Row],[Grade]] &amp; "/" &amp; StatusBranchGrade[[#This Row],[Rank]]) &amp; ""</f>
        <v>O-7</v>
      </c>
      <c r="H38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O-7</v>
      </c>
      <c r="I388" s="17" t="str">
        <f>SUBSTITUTE(SUBSTITUTE(SUBSTITUTE(StatusBranchGrade[[#This Row],[Status]] &amp; "  /  " &amp; StatusBranchGrade[[#This Row],[Branch]] &amp; ";", "  /  ;", ";"), "  /  ;", ";"), ";", "")</f>
        <v>Full-time Nat'l Guard  /  Army</v>
      </c>
      <c r="J388">
        <v>12</v>
      </c>
      <c r="K388" s="17" t="str">
        <f>IF(LEFT(StatusBranchGrade[[#This Row],[Which]], 1) = "1", StatusBranchGrade[[#This Row],[Key]], "")</f>
        <v>Full-time Nat'l Guard  /  Army  /  O-7</v>
      </c>
      <c r="L388" s="17" t="str">
        <f>IF(LEFT(StatusBranchGrade[[#This Row],[Which]], 1) = "1", StatusBranchGrade[[#This Row],[Key0]], "")</f>
        <v>Full-time Nat'l Guard  /  Army</v>
      </c>
      <c r="M388" s="17" t="str">
        <f>IF(RIGHT(StatusBranchGrade[[#This Row],[Which]], 1) = "2", StatusBranchGrade[[#This Row],[Key]], "")</f>
        <v>Full-time Nat'l Guard  /  Army  /  O-7</v>
      </c>
      <c r="N388" s="17" t="str">
        <f>IF(RIGHT(StatusBranchGrade[[#This Row],[Which]], 1) = "2", StatusBranchGrade[[#This Row],[Key0]], "")</f>
        <v>Full-time Nat'l Guard  /  Army</v>
      </c>
      <c r="O388" s="17" t="s">
        <v>301</v>
      </c>
      <c r="P388" s="17"/>
      <c r="Q388" s="63">
        <f>--ISNUMBER(IF(StatusBranchGrade[[#This Row],[Sponsor0]] = 'Calculation Worksheet'!$AV$6 &amp; "  /  " &amp; 'Calculation Worksheet'!$AV$7, 1, ""))</f>
        <v>0</v>
      </c>
      <c r="R388" s="63" t="str">
        <f>IF(StatusBranchGrade[[#This Row],[S1]] = 1, COUNTIF($Q$3:Q388, 1), "")</f>
        <v/>
      </c>
      <c r="S388" s="63" t="str">
        <f>IFERROR(INDEX(StatusBranchGrade[Rank/Grade], MATCH(ROWS($R$3:R388)-1, StatusBranchGrade[S2], 0)), "") &amp; ""</f>
        <v/>
      </c>
      <c r="T388" s="63">
        <f>--ISNUMBER(IF(StatusBranchGrade[[#This Row],[Spouse0]] = 'Calculation Worksheet'!$CG$6 &amp; "  /  " &amp; 'Calculation Worksheet'!$CG$7, 1, ""))</f>
        <v>0</v>
      </c>
      <c r="U388" s="63" t="str">
        <f>IF(StatusBranchGrade[[#This Row],[T1]] = 1, COUNTIF($T$3:T388, 1), "")</f>
        <v/>
      </c>
      <c r="V388" s="63" t="str">
        <f>IFERROR(INDEX(StatusBranchGrade[Rank/Grade], MATCH(ROWS($U$3:U388)-1, StatusBranchGrade[T2], 0)), "") &amp; ""</f>
        <v/>
      </c>
      <c r="W388" s="63"/>
    </row>
    <row r="389" spans="1:23" x14ac:dyDescent="0.25">
      <c r="A389">
        <v>6</v>
      </c>
      <c r="B389" t="s">
        <v>390</v>
      </c>
      <c r="C389" t="s">
        <v>180</v>
      </c>
      <c r="D389" t="s">
        <v>84</v>
      </c>
      <c r="E389" t="str">
        <f>IF(StatusBranchGrade[[#This Row],[Status]] = "CYS", "DoD", StatusBranchGrade[[#This Row],[Rank]] &amp; "")</f>
        <v>O-8</v>
      </c>
      <c r="F389" t="s">
        <v>84</v>
      </c>
      <c r="G389" t="str">
        <f>IF(StatusBranchGrade[[#This Row],[Rank]] = StatusBranchGrade[[#This Row],[Grade]], StatusBranchGrade[[#This Row],[Rank]], StatusBranchGrade[[#This Row],[Grade]] &amp; "/" &amp; StatusBranchGrade[[#This Row],[Rank]]) &amp; ""</f>
        <v>O-8</v>
      </c>
      <c r="H38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O-8</v>
      </c>
      <c r="I389" s="17" t="str">
        <f>SUBSTITUTE(SUBSTITUTE(SUBSTITUTE(StatusBranchGrade[[#This Row],[Status]] &amp; "  /  " &amp; StatusBranchGrade[[#This Row],[Branch]] &amp; ";", "  /  ;", ";"), "  /  ;", ";"), ";", "")</f>
        <v>Full-time Nat'l Guard  /  Army</v>
      </c>
      <c r="J389">
        <v>12</v>
      </c>
      <c r="K389" s="17" t="str">
        <f>IF(LEFT(StatusBranchGrade[[#This Row],[Which]], 1) = "1", StatusBranchGrade[[#This Row],[Key]], "")</f>
        <v>Full-time Nat'l Guard  /  Army  /  O-8</v>
      </c>
      <c r="L389" s="17" t="str">
        <f>IF(LEFT(StatusBranchGrade[[#This Row],[Which]], 1) = "1", StatusBranchGrade[[#This Row],[Key0]], "")</f>
        <v>Full-time Nat'l Guard  /  Army</v>
      </c>
      <c r="M389" s="17" t="str">
        <f>IF(RIGHT(StatusBranchGrade[[#This Row],[Which]], 1) = "2", StatusBranchGrade[[#This Row],[Key]], "")</f>
        <v>Full-time Nat'l Guard  /  Army  /  O-8</v>
      </c>
      <c r="N389" s="17" t="str">
        <f>IF(RIGHT(StatusBranchGrade[[#This Row],[Which]], 1) = "2", StatusBranchGrade[[#This Row],[Key0]], "")</f>
        <v>Full-time Nat'l Guard  /  Army</v>
      </c>
      <c r="O389" s="17" t="s">
        <v>301</v>
      </c>
      <c r="P389" s="17"/>
      <c r="Q389" s="63">
        <f>--ISNUMBER(IF(StatusBranchGrade[[#This Row],[Sponsor0]] = 'Calculation Worksheet'!$AV$6 &amp; "  /  " &amp; 'Calculation Worksheet'!$AV$7, 1, ""))</f>
        <v>0</v>
      </c>
      <c r="R389" s="63" t="str">
        <f>IF(StatusBranchGrade[[#This Row],[S1]] = 1, COUNTIF($Q$3:Q389, 1), "")</f>
        <v/>
      </c>
      <c r="S389" s="63" t="str">
        <f>IFERROR(INDEX(StatusBranchGrade[Rank/Grade], MATCH(ROWS($R$3:R389)-1, StatusBranchGrade[S2], 0)), "") &amp; ""</f>
        <v/>
      </c>
      <c r="T389" s="63">
        <f>--ISNUMBER(IF(StatusBranchGrade[[#This Row],[Spouse0]] = 'Calculation Worksheet'!$CG$6 &amp; "  /  " &amp; 'Calculation Worksheet'!$CG$7, 1, ""))</f>
        <v>0</v>
      </c>
      <c r="U389" s="63" t="str">
        <f>IF(StatusBranchGrade[[#This Row],[T1]] = 1, COUNTIF($T$3:T389, 1), "")</f>
        <v/>
      </c>
      <c r="V389" s="63" t="str">
        <f>IFERROR(INDEX(StatusBranchGrade[Rank/Grade], MATCH(ROWS($U$3:U389)-1, StatusBranchGrade[T2], 0)), "") &amp; ""</f>
        <v/>
      </c>
      <c r="W389" s="63"/>
    </row>
    <row r="390" spans="1:23" x14ac:dyDescent="0.25">
      <c r="A390">
        <v>6</v>
      </c>
      <c r="B390" t="s">
        <v>390</v>
      </c>
      <c r="C390" t="s">
        <v>180</v>
      </c>
      <c r="D390" t="s">
        <v>83</v>
      </c>
      <c r="E390" t="str">
        <f>IF(StatusBranchGrade[[#This Row],[Status]] = "CYS", "DoD", StatusBranchGrade[[#This Row],[Rank]] &amp; "")</f>
        <v>O-9</v>
      </c>
      <c r="F390" t="s">
        <v>83</v>
      </c>
      <c r="G390" t="str">
        <f>IF(StatusBranchGrade[[#This Row],[Rank]] = StatusBranchGrade[[#This Row],[Grade]], StatusBranchGrade[[#This Row],[Rank]], StatusBranchGrade[[#This Row],[Grade]] &amp; "/" &amp; StatusBranchGrade[[#This Row],[Rank]]) &amp; ""</f>
        <v>O-9</v>
      </c>
      <c r="H39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O-9</v>
      </c>
      <c r="I390" s="17" t="str">
        <f>SUBSTITUTE(SUBSTITUTE(SUBSTITUTE(StatusBranchGrade[[#This Row],[Status]] &amp; "  /  " &amp; StatusBranchGrade[[#This Row],[Branch]] &amp; ";", "  /  ;", ";"), "  /  ;", ";"), ";", "")</f>
        <v>Full-time Nat'l Guard  /  Army</v>
      </c>
      <c r="J390">
        <v>12</v>
      </c>
      <c r="K390" s="17" t="str">
        <f>IF(LEFT(StatusBranchGrade[[#This Row],[Which]], 1) = "1", StatusBranchGrade[[#This Row],[Key]], "")</f>
        <v>Full-time Nat'l Guard  /  Army  /  O-9</v>
      </c>
      <c r="L390" s="17" t="str">
        <f>IF(LEFT(StatusBranchGrade[[#This Row],[Which]], 1) = "1", StatusBranchGrade[[#This Row],[Key0]], "")</f>
        <v>Full-time Nat'l Guard  /  Army</v>
      </c>
      <c r="M390" s="17" t="str">
        <f>IF(RIGHT(StatusBranchGrade[[#This Row],[Which]], 1) = "2", StatusBranchGrade[[#This Row],[Key]], "")</f>
        <v>Full-time Nat'l Guard  /  Army  /  O-9</v>
      </c>
      <c r="N390" s="17" t="str">
        <f>IF(RIGHT(StatusBranchGrade[[#This Row],[Which]], 1) = "2", StatusBranchGrade[[#This Row],[Key0]], "")</f>
        <v>Full-time Nat'l Guard  /  Army</v>
      </c>
      <c r="O390" s="17" t="s">
        <v>301</v>
      </c>
      <c r="P390" s="17"/>
      <c r="Q390" s="63">
        <f>--ISNUMBER(IF(StatusBranchGrade[[#This Row],[Sponsor0]] = 'Calculation Worksheet'!$AV$6 &amp; "  /  " &amp; 'Calculation Worksheet'!$AV$7, 1, ""))</f>
        <v>0</v>
      </c>
      <c r="R390" s="63" t="str">
        <f>IF(StatusBranchGrade[[#This Row],[S1]] = 1, COUNTIF($Q$3:Q390, 1), "")</f>
        <v/>
      </c>
      <c r="S390" s="63" t="str">
        <f>IFERROR(INDEX(StatusBranchGrade[Rank/Grade], MATCH(ROWS($R$3:R390)-1, StatusBranchGrade[S2], 0)), "") &amp; ""</f>
        <v/>
      </c>
      <c r="T390" s="63">
        <f>--ISNUMBER(IF(StatusBranchGrade[[#This Row],[Spouse0]] = 'Calculation Worksheet'!$CG$6 &amp; "  /  " &amp; 'Calculation Worksheet'!$CG$7, 1, ""))</f>
        <v>0</v>
      </c>
      <c r="U390" s="63" t="str">
        <f>IF(StatusBranchGrade[[#This Row],[T1]] = 1, COUNTIF($T$3:T390, 1), "")</f>
        <v/>
      </c>
      <c r="V390" s="63" t="str">
        <f>IFERROR(INDEX(StatusBranchGrade[Rank/Grade], MATCH(ROWS($U$3:U390)-1, StatusBranchGrade[T2], 0)), "") &amp; ""</f>
        <v/>
      </c>
      <c r="W390" s="63"/>
    </row>
    <row r="391" spans="1:23" x14ac:dyDescent="0.25">
      <c r="A391">
        <v>6</v>
      </c>
      <c r="B391" t="s">
        <v>390</v>
      </c>
      <c r="C391" t="s">
        <v>180</v>
      </c>
      <c r="D391" t="s">
        <v>96</v>
      </c>
      <c r="E391" t="str">
        <f>IF(StatusBranchGrade[[#This Row],[Status]] = "CYS", "DoD", StatusBranchGrade[[#This Row],[Rank]] &amp; "")</f>
        <v>W-1</v>
      </c>
      <c r="F391" t="s">
        <v>179</v>
      </c>
      <c r="G391" t="str">
        <f>IF(StatusBranchGrade[[#This Row],[Rank]] = StatusBranchGrade[[#This Row],[Grade]], StatusBranchGrade[[#This Row],[Rank]], StatusBranchGrade[[#This Row],[Grade]] &amp; "/" &amp; StatusBranchGrade[[#This Row],[Rank]]) &amp; ""</f>
        <v>WO1/W-1</v>
      </c>
      <c r="H39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Army  /  WO1/W-1</v>
      </c>
      <c r="I391" s="17" t="str">
        <f>SUBSTITUTE(SUBSTITUTE(SUBSTITUTE(StatusBranchGrade[[#This Row],[Status]] &amp; "  /  " &amp; StatusBranchGrade[[#This Row],[Branch]] &amp; ";", "  /  ;", ";"), "  /  ;", ";"), ";", "")</f>
        <v>Full-time Nat'l Guard  /  Army</v>
      </c>
      <c r="J391">
        <v>12</v>
      </c>
      <c r="K391" s="17" t="str">
        <f>IF(LEFT(StatusBranchGrade[[#This Row],[Which]], 1) = "1", StatusBranchGrade[[#This Row],[Key]], "")</f>
        <v>Full-time Nat'l Guard  /  Army  /  WO1/W-1</v>
      </c>
      <c r="L391" s="17" t="str">
        <f>IF(LEFT(StatusBranchGrade[[#This Row],[Which]], 1) = "1", StatusBranchGrade[[#This Row],[Key0]], "")</f>
        <v>Full-time Nat'l Guard  /  Army</v>
      </c>
      <c r="M391" s="17" t="str">
        <f>IF(RIGHT(StatusBranchGrade[[#This Row],[Which]], 1) = "2", StatusBranchGrade[[#This Row],[Key]], "")</f>
        <v>Full-time Nat'l Guard  /  Army  /  WO1/W-1</v>
      </c>
      <c r="N391" s="17" t="str">
        <f>IF(RIGHT(StatusBranchGrade[[#This Row],[Which]], 1) = "2", StatusBranchGrade[[#This Row],[Key0]], "")</f>
        <v>Full-time Nat'l Guard  /  Army</v>
      </c>
      <c r="O391" s="17" t="s">
        <v>301</v>
      </c>
      <c r="P391" s="17"/>
      <c r="Q391" s="63">
        <f>--ISNUMBER(IF(StatusBranchGrade[[#This Row],[Sponsor0]] = 'Calculation Worksheet'!$AV$6 &amp; "  /  " &amp; 'Calculation Worksheet'!$AV$7, 1, ""))</f>
        <v>0</v>
      </c>
      <c r="R391" s="63" t="str">
        <f>IF(StatusBranchGrade[[#This Row],[S1]] = 1, COUNTIF($Q$3:Q391, 1), "")</f>
        <v/>
      </c>
      <c r="S391" s="63" t="str">
        <f>IFERROR(INDEX(StatusBranchGrade[Rank/Grade], MATCH(ROWS($R$3:R391)-1, StatusBranchGrade[S2], 0)), "") &amp; ""</f>
        <v/>
      </c>
      <c r="T391" s="63">
        <f>--ISNUMBER(IF(StatusBranchGrade[[#This Row],[Spouse0]] = 'Calculation Worksheet'!$CG$6 &amp; "  /  " &amp; 'Calculation Worksheet'!$CG$7, 1, ""))</f>
        <v>0</v>
      </c>
      <c r="U391" s="63" t="str">
        <f>IF(StatusBranchGrade[[#This Row],[T1]] = 1, COUNTIF($T$3:T391, 1), "")</f>
        <v/>
      </c>
      <c r="V391" s="63" t="str">
        <f>IFERROR(INDEX(StatusBranchGrade[Rank/Grade], MATCH(ROWS($U$3:U391)-1, StatusBranchGrade[T2], 0)), "") &amp; ""</f>
        <v/>
      </c>
      <c r="W391" s="63"/>
    </row>
    <row r="392" spans="1:23" x14ac:dyDescent="0.25">
      <c r="A392">
        <v>6</v>
      </c>
      <c r="B392" t="s">
        <v>390</v>
      </c>
      <c r="C392" t="s">
        <v>181</v>
      </c>
      <c r="D392" t="s">
        <v>105</v>
      </c>
      <c r="E392" t="str">
        <f>IF(StatusBranchGrade[[#This Row],[Status]] = "CYS", "DoD", StatusBranchGrade[[#This Row],[Rank]] &amp; "")</f>
        <v>E-1</v>
      </c>
      <c r="F392" t="s">
        <v>105</v>
      </c>
      <c r="G392" t="str">
        <f>IF(StatusBranchGrade[[#This Row],[Rank]] = StatusBranchGrade[[#This Row],[Grade]], StatusBranchGrade[[#This Row],[Rank]], StatusBranchGrade[[#This Row],[Grade]] &amp; "/" &amp; StatusBranchGrade[[#This Row],[Rank]]) &amp; ""</f>
        <v>E-1</v>
      </c>
      <c r="H39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E-1</v>
      </c>
      <c r="I392" s="17" t="str">
        <f>SUBSTITUTE(SUBSTITUTE(SUBSTITUTE(StatusBranchGrade[[#This Row],[Status]] &amp; "  /  " &amp; StatusBranchGrade[[#This Row],[Branch]] &amp; ";", "  /  ;", ";"), "  /  ;", ";"), ";", "")</f>
        <v>Full-time Nat'l Guard  /  Marines</v>
      </c>
      <c r="J392">
        <v>12</v>
      </c>
      <c r="K392" s="17" t="str">
        <f>IF(LEFT(StatusBranchGrade[[#This Row],[Which]], 1) = "1", StatusBranchGrade[[#This Row],[Key]], "")</f>
        <v>Full-time Nat'l Guard  /  Marines  /  E-1</v>
      </c>
      <c r="L392" s="17" t="str">
        <f>IF(LEFT(StatusBranchGrade[[#This Row],[Which]], 1) = "1", StatusBranchGrade[[#This Row],[Key0]], "")</f>
        <v>Full-time Nat'l Guard  /  Marines</v>
      </c>
      <c r="M392" s="17" t="str">
        <f>IF(RIGHT(StatusBranchGrade[[#This Row],[Which]], 1) = "2", StatusBranchGrade[[#This Row],[Key]], "")</f>
        <v>Full-time Nat'l Guard  /  Marines  /  E-1</v>
      </c>
      <c r="N392" s="17" t="str">
        <f>IF(RIGHT(StatusBranchGrade[[#This Row],[Which]], 1) = "2", StatusBranchGrade[[#This Row],[Key0]], "")</f>
        <v>Full-time Nat'l Guard  /  Marines</v>
      </c>
      <c r="O392" s="17" t="s">
        <v>301</v>
      </c>
      <c r="P392" s="17"/>
      <c r="Q392" s="63">
        <f>--ISNUMBER(IF(StatusBranchGrade[[#This Row],[Sponsor0]] = 'Calculation Worksheet'!$AV$6 &amp; "  /  " &amp; 'Calculation Worksheet'!$AV$7, 1, ""))</f>
        <v>0</v>
      </c>
      <c r="R392" s="63" t="str">
        <f>IF(StatusBranchGrade[[#This Row],[S1]] = 1, COUNTIF($Q$3:Q392, 1), "")</f>
        <v/>
      </c>
      <c r="S392" s="63" t="str">
        <f>IFERROR(INDEX(StatusBranchGrade[Rank/Grade], MATCH(ROWS($R$3:R392)-1, StatusBranchGrade[S2], 0)), "") &amp; ""</f>
        <v/>
      </c>
      <c r="T392" s="63">
        <f>--ISNUMBER(IF(StatusBranchGrade[[#This Row],[Spouse0]] = 'Calculation Worksheet'!$CG$6 &amp; "  /  " &amp; 'Calculation Worksheet'!$CG$7, 1, ""))</f>
        <v>0</v>
      </c>
      <c r="U392" s="63" t="str">
        <f>IF(StatusBranchGrade[[#This Row],[T1]] = 1, COUNTIF($T$3:T392, 1), "")</f>
        <v/>
      </c>
      <c r="V392" s="63" t="str">
        <f>IFERROR(INDEX(StatusBranchGrade[Rank/Grade], MATCH(ROWS($U$3:U392)-1, StatusBranchGrade[T2], 0)), "") &amp; ""</f>
        <v/>
      </c>
      <c r="W392" s="63"/>
    </row>
    <row r="393" spans="1:23" x14ac:dyDescent="0.25">
      <c r="A393">
        <v>6</v>
      </c>
      <c r="B393" t="s">
        <v>390</v>
      </c>
      <c r="C393" t="s">
        <v>181</v>
      </c>
      <c r="D393" t="s">
        <v>104</v>
      </c>
      <c r="E393" t="str">
        <f>IF(StatusBranchGrade[[#This Row],[Status]] = "CYS", "DoD", StatusBranchGrade[[#This Row],[Rank]] &amp; "")</f>
        <v>E-2</v>
      </c>
      <c r="F393" t="s">
        <v>104</v>
      </c>
      <c r="G393" t="str">
        <f>IF(StatusBranchGrade[[#This Row],[Rank]] = StatusBranchGrade[[#This Row],[Grade]], StatusBranchGrade[[#This Row],[Rank]], StatusBranchGrade[[#This Row],[Grade]] &amp; "/" &amp; StatusBranchGrade[[#This Row],[Rank]]) &amp; ""</f>
        <v>E-2</v>
      </c>
      <c r="H39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E-2</v>
      </c>
      <c r="I393" s="17" t="str">
        <f>SUBSTITUTE(SUBSTITUTE(SUBSTITUTE(StatusBranchGrade[[#This Row],[Status]] &amp; "  /  " &amp; StatusBranchGrade[[#This Row],[Branch]] &amp; ";", "  /  ;", ";"), "  /  ;", ";"), ";", "")</f>
        <v>Full-time Nat'l Guard  /  Marines</v>
      </c>
      <c r="J393">
        <v>12</v>
      </c>
      <c r="K393" s="17" t="str">
        <f>IF(LEFT(StatusBranchGrade[[#This Row],[Which]], 1) = "1", StatusBranchGrade[[#This Row],[Key]], "")</f>
        <v>Full-time Nat'l Guard  /  Marines  /  E-2</v>
      </c>
      <c r="L393" s="17" t="str">
        <f>IF(LEFT(StatusBranchGrade[[#This Row],[Which]], 1) = "1", StatusBranchGrade[[#This Row],[Key0]], "")</f>
        <v>Full-time Nat'l Guard  /  Marines</v>
      </c>
      <c r="M393" s="17" t="str">
        <f>IF(RIGHT(StatusBranchGrade[[#This Row],[Which]], 1) = "2", StatusBranchGrade[[#This Row],[Key]], "")</f>
        <v>Full-time Nat'l Guard  /  Marines  /  E-2</v>
      </c>
      <c r="N393" s="17" t="str">
        <f>IF(RIGHT(StatusBranchGrade[[#This Row],[Which]], 1) = "2", StatusBranchGrade[[#This Row],[Key0]], "")</f>
        <v>Full-time Nat'l Guard  /  Marines</v>
      </c>
      <c r="O393" s="17" t="s">
        <v>301</v>
      </c>
      <c r="P393" s="17"/>
      <c r="Q393" s="63">
        <f>--ISNUMBER(IF(StatusBranchGrade[[#This Row],[Sponsor0]] = 'Calculation Worksheet'!$AV$6 &amp; "  /  " &amp; 'Calculation Worksheet'!$AV$7, 1, ""))</f>
        <v>0</v>
      </c>
      <c r="R393" s="63" t="str">
        <f>IF(StatusBranchGrade[[#This Row],[S1]] = 1, COUNTIF($Q$3:Q393, 1), "")</f>
        <v/>
      </c>
      <c r="S393" s="63" t="str">
        <f>IFERROR(INDEX(StatusBranchGrade[Rank/Grade], MATCH(ROWS($R$3:R393)-1, StatusBranchGrade[S2], 0)), "") &amp; ""</f>
        <v/>
      </c>
      <c r="T393" s="63">
        <f>--ISNUMBER(IF(StatusBranchGrade[[#This Row],[Spouse0]] = 'Calculation Worksheet'!$CG$6 &amp; "  /  " &amp; 'Calculation Worksheet'!$CG$7, 1, ""))</f>
        <v>0</v>
      </c>
      <c r="U393" s="63" t="str">
        <f>IF(StatusBranchGrade[[#This Row],[T1]] = 1, COUNTIF($T$3:T393, 1), "")</f>
        <v/>
      </c>
      <c r="V393" s="63" t="str">
        <f>IFERROR(INDEX(StatusBranchGrade[Rank/Grade], MATCH(ROWS($U$3:U393)-1, StatusBranchGrade[T2], 0)), "") &amp; ""</f>
        <v/>
      </c>
      <c r="W393" s="63"/>
    </row>
    <row r="394" spans="1:23" x14ac:dyDescent="0.25">
      <c r="A394">
        <v>6</v>
      </c>
      <c r="B394" t="s">
        <v>390</v>
      </c>
      <c r="C394" t="s">
        <v>181</v>
      </c>
      <c r="D394" t="s">
        <v>103</v>
      </c>
      <c r="E394" t="str">
        <f>IF(StatusBranchGrade[[#This Row],[Status]] = "CYS", "DoD", StatusBranchGrade[[#This Row],[Rank]] &amp; "")</f>
        <v>E-3</v>
      </c>
      <c r="F394" t="s">
        <v>103</v>
      </c>
      <c r="G394" t="str">
        <f>IF(StatusBranchGrade[[#This Row],[Rank]] = StatusBranchGrade[[#This Row],[Grade]], StatusBranchGrade[[#This Row],[Rank]], StatusBranchGrade[[#This Row],[Grade]] &amp; "/" &amp; StatusBranchGrade[[#This Row],[Rank]]) &amp; ""</f>
        <v>E-3</v>
      </c>
      <c r="H39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E-3</v>
      </c>
      <c r="I394" s="17" t="str">
        <f>SUBSTITUTE(SUBSTITUTE(SUBSTITUTE(StatusBranchGrade[[#This Row],[Status]] &amp; "  /  " &amp; StatusBranchGrade[[#This Row],[Branch]] &amp; ";", "  /  ;", ";"), "  /  ;", ";"), ";", "")</f>
        <v>Full-time Nat'l Guard  /  Marines</v>
      </c>
      <c r="J394">
        <v>12</v>
      </c>
      <c r="K394" s="17" t="str">
        <f>IF(LEFT(StatusBranchGrade[[#This Row],[Which]], 1) = "1", StatusBranchGrade[[#This Row],[Key]], "")</f>
        <v>Full-time Nat'l Guard  /  Marines  /  E-3</v>
      </c>
      <c r="L394" s="17" t="str">
        <f>IF(LEFT(StatusBranchGrade[[#This Row],[Which]], 1) = "1", StatusBranchGrade[[#This Row],[Key0]], "")</f>
        <v>Full-time Nat'l Guard  /  Marines</v>
      </c>
      <c r="M394" s="17" t="str">
        <f>IF(RIGHT(StatusBranchGrade[[#This Row],[Which]], 1) = "2", StatusBranchGrade[[#This Row],[Key]], "")</f>
        <v>Full-time Nat'l Guard  /  Marines  /  E-3</v>
      </c>
      <c r="N394" s="17" t="str">
        <f>IF(RIGHT(StatusBranchGrade[[#This Row],[Which]], 1) = "2", StatusBranchGrade[[#This Row],[Key0]], "")</f>
        <v>Full-time Nat'l Guard  /  Marines</v>
      </c>
      <c r="O394" s="17" t="s">
        <v>301</v>
      </c>
      <c r="P394" s="17"/>
      <c r="Q394" s="63">
        <f>--ISNUMBER(IF(StatusBranchGrade[[#This Row],[Sponsor0]] = 'Calculation Worksheet'!$AV$6 &amp; "  /  " &amp; 'Calculation Worksheet'!$AV$7, 1, ""))</f>
        <v>0</v>
      </c>
      <c r="R394" s="63" t="str">
        <f>IF(StatusBranchGrade[[#This Row],[S1]] = 1, COUNTIF($Q$3:Q394, 1), "")</f>
        <v/>
      </c>
      <c r="S394" s="63" t="str">
        <f>IFERROR(INDEX(StatusBranchGrade[Rank/Grade], MATCH(ROWS($R$3:R394)-1, StatusBranchGrade[S2], 0)), "") &amp; ""</f>
        <v/>
      </c>
      <c r="T394" s="63">
        <f>--ISNUMBER(IF(StatusBranchGrade[[#This Row],[Spouse0]] = 'Calculation Worksheet'!$CG$6 &amp; "  /  " &amp; 'Calculation Worksheet'!$CG$7, 1, ""))</f>
        <v>0</v>
      </c>
      <c r="U394" s="63" t="str">
        <f>IF(StatusBranchGrade[[#This Row],[T1]] = 1, COUNTIF($T$3:T394, 1), "")</f>
        <v/>
      </c>
      <c r="V394" s="63" t="str">
        <f>IFERROR(INDEX(StatusBranchGrade[Rank/Grade], MATCH(ROWS($U$3:U394)-1, StatusBranchGrade[T2], 0)), "") &amp; ""</f>
        <v/>
      </c>
      <c r="W394" s="63"/>
    </row>
    <row r="395" spans="1:23" x14ac:dyDescent="0.25">
      <c r="A395">
        <v>6</v>
      </c>
      <c r="B395" t="s">
        <v>390</v>
      </c>
      <c r="C395" t="s">
        <v>181</v>
      </c>
      <c r="D395" t="s">
        <v>102</v>
      </c>
      <c r="E395" t="str">
        <f>IF(StatusBranchGrade[[#This Row],[Status]] = "CYS", "DoD", StatusBranchGrade[[#This Row],[Rank]] &amp; "")</f>
        <v>E-4</v>
      </c>
      <c r="F395" t="s">
        <v>102</v>
      </c>
      <c r="G395" t="str">
        <f>IF(StatusBranchGrade[[#This Row],[Rank]] = StatusBranchGrade[[#This Row],[Grade]], StatusBranchGrade[[#This Row],[Rank]], StatusBranchGrade[[#This Row],[Grade]] &amp; "/" &amp; StatusBranchGrade[[#This Row],[Rank]]) &amp; ""</f>
        <v>E-4</v>
      </c>
      <c r="H39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E-4</v>
      </c>
      <c r="I395" s="17" t="str">
        <f>SUBSTITUTE(SUBSTITUTE(SUBSTITUTE(StatusBranchGrade[[#This Row],[Status]] &amp; "  /  " &amp; StatusBranchGrade[[#This Row],[Branch]] &amp; ";", "  /  ;", ";"), "  /  ;", ";"), ";", "")</f>
        <v>Full-time Nat'l Guard  /  Marines</v>
      </c>
      <c r="J395">
        <v>12</v>
      </c>
      <c r="K395" s="17" t="str">
        <f>IF(LEFT(StatusBranchGrade[[#This Row],[Which]], 1) = "1", StatusBranchGrade[[#This Row],[Key]], "")</f>
        <v>Full-time Nat'l Guard  /  Marines  /  E-4</v>
      </c>
      <c r="L395" s="17" t="str">
        <f>IF(LEFT(StatusBranchGrade[[#This Row],[Which]], 1) = "1", StatusBranchGrade[[#This Row],[Key0]], "")</f>
        <v>Full-time Nat'l Guard  /  Marines</v>
      </c>
      <c r="M395" s="17" t="str">
        <f>IF(RIGHT(StatusBranchGrade[[#This Row],[Which]], 1) = "2", StatusBranchGrade[[#This Row],[Key]], "")</f>
        <v>Full-time Nat'l Guard  /  Marines  /  E-4</v>
      </c>
      <c r="N395" s="17" t="str">
        <f>IF(RIGHT(StatusBranchGrade[[#This Row],[Which]], 1) = "2", StatusBranchGrade[[#This Row],[Key0]], "")</f>
        <v>Full-time Nat'l Guard  /  Marines</v>
      </c>
      <c r="O395" s="17" t="s">
        <v>301</v>
      </c>
      <c r="P395" s="17"/>
      <c r="Q395" s="63">
        <f>--ISNUMBER(IF(StatusBranchGrade[[#This Row],[Sponsor0]] = 'Calculation Worksheet'!$AV$6 &amp; "  /  " &amp; 'Calculation Worksheet'!$AV$7, 1, ""))</f>
        <v>0</v>
      </c>
      <c r="R395" s="63" t="str">
        <f>IF(StatusBranchGrade[[#This Row],[S1]] = 1, COUNTIF($Q$3:Q395, 1), "")</f>
        <v/>
      </c>
      <c r="S395" s="63" t="str">
        <f>IFERROR(INDEX(StatusBranchGrade[Rank/Grade], MATCH(ROWS($R$3:R395)-1, StatusBranchGrade[S2], 0)), "") &amp; ""</f>
        <v/>
      </c>
      <c r="T395" s="63">
        <f>--ISNUMBER(IF(StatusBranchGrade[[#This Row],[Spouse0]] = 'Calculation Worksheet'!$CG$6 &amp; "  /  " &amp; 'Calculation Worksheet'!$CG$7, 1, ""))</f>
        <v>0</v>
      </c>
      <c r="U395" s="63" t="str">
        <f>IF(StatusBranchGrade[[#This Row],[T1]] = 1, COUNTIF($T$3:T395, 1), "")</f>
        <v/>
      </c>
      <c r="V395" s="63" t="str">
        <f>IFERROR(INDEX(StatusBranchGrade[Rank/Grade], MATCH(ROWS($U$3:U395)-1, StatusBranchGrade[T2], 0)), "") &amp; ""</f>
        <v/>
      </c>
      <c r="W395" s="63"/>
    </row>
    <row r="396" spans="1:23" x14ac:dyDescent="0.25">
      <c r="A396">
        <v>6</v>
      </c>
      <c r="B396" t="s">
        <v>390</v>
      </c>
      <c r="C396" t="s">
        <v>181</v>
      </c>
      <c r="D396" t="s">
        <v>101</v>
      </c>
      <c r="E396" t="str">
        <f>IF(StatusBranchGrade[[#This Row],[Status]] = "CYS", "DoD", StatusBranchGrade[[#This Row],[Rank]] &amp; "")</f>
        <v>E-5</v>
      </c>
      <c r="F396" t="s">
        <v>101</v>
      </c>
      <c r="G396" t="str">
        <f>IF(StatusBranchGrade[[#This Row],[Rank]] = StatusBranchGrade[[#This Row],[Grade]], StatusBranchGrade[[#This Row],[Rank]], StatusBranchGrade[[#This Row],[Grade]] &amp; "/" &amp; StatusBranchGrade[[#This Row],[Rank]]) &amp; ""</f>
        <v>E-5</v>
      </c>
      <c r="H39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E-5</v>
      </c>
      <c r="I396" s="17" t="str">
        <f>SUBSTITUTE(SUBSTITUTE(SUBSTITUTE(StatusBranchGrade[[#This Row],[Status]] &amp; "  /  " &amp; StatusBranchGrade[[#This Row],[Branch]] &amp; ";", "  /  ;", ";"), "  /  ;", ";"), ";", "")</f>
        <v>Full-time Nat'l Guard  /  Marines</v>
      </c>
      <c r="J396">
        <v>12</v>
      </c>
      <c r="K396" s="17" t="str">
        <f>IF(LEFT(StatusBranchGrade[[#This Row],[Which]], 1) = "1", StatusBranchGrade[[#This Row],[Key]], "")</f>
        <v>Full-time Nat'l Guard  /  Marines  /  E-5</v>
      </c>
      <c r="L396" s="17" t="str">
        <f>IF(LEFT(StatusBranchGrade[[#This Row],[Which]], 1) = "1", StatusBranchGrade[[#This Row],[Key0]], "")</f>
        <v>Full-time Nat'l Guard  /  Marines</v>
      </c>
      <c r="M396" s="17" t="str">
        <f>IF(RIGHT(StatusBranchGrade[[#This Row],[Which]], 1) = "2", StatusBranchGrade[[#This Row],[Key]], "")</f>
        <v>Full-time Nat'l Guard  /  Marines  /  E-5</v>
      </c>
      <c r="N396" s="17" t="str">
        <f>IF(RIGHT(StatusBranchGrade[[#This Row],[Which]], 1) = "2", StatusBranchGrade[[#This Row],[Key0]], "")</f>
        <v>Full-time Nat'l Guard  /  Marines</v>
      </c>
      <c r="O396" s="17" t="s">
        <v>301</v>
      </c>
      <c r="P396" s="17"/>
      <c r="Q396" s="63">
        <f>--ISNUMBER(IF(StatusBranchGrade[[#This Row],[Sponsor0]] = 'Calculation Worksheet'!$AV$6 &amp; "  /  " &amp; 'Calculation Worksheet'!$AV$7, 1, ""))</f>
        <v>0</v>
      </c>
      <c r="R396" s="63" t="str">
        <f>IF(StatusBranchGrade[[#This Row],[S1]] = 1, COUNTIF($Q$3:Q396, 1), "")</f>
        <v/>
      </c>
      <c r="S396" s="63" t="str">
        <f>IFERROR(INDEX(StatusBranchGrade[Rank/Grade], MATCH(ROWS($R$3:R396)-1, StatusBranchGrade[S2], 0)), "") &amp; ""</f>
        <v/>
      </c>
      <c r="T396" s="63">
        <f>--ISNUMBER(IF(StatusBranchGrade[[#This Row],[Spouse0]] = 'Calculation Worksheet'!$CG$6 &amp; "  /  " &amp; 'Calculation Worksheet'!$CG$7, 1, ""))</f>
        <v>0</v>
      </c>
      <c r="U396" s="63" t="str">
        <f>IF(StatusBranchGrade[[#This Row],[T1]] = 1, COUNTIF($T$3:T396, 1), "")</f>
        <v/>
      </c>
      <c r="V396" s="63" t="str">
        <f>IFERROR(INDEX(StatusBranchGrade[Rank/Grade], MATCH(ROWS($U$3:U396)-1, StatusBranchGrade[T2], 0)), "") &amp; ""</f>
        <v/>
      </c>
      <c r="W396" s="63"/>
    </row>
    <row r="397" spans="1:23" x14ac:dyDescent="0.25">
      <c r="A397">
        <v>6</v>
      </c>
      <c r="B397" t="s">
        <v>390</v>
      </c>
      <c r="C397" t="s">
        <v>181</v>
      </c>
      <c r="D397" t="s">
        <v>100</v>
      </c>
      <c r="E397" t="str">
        <f>IF(StatusBranchGrade[[#This Row],[Status]] = "CYS", "DoD", StatusBranchGrade[[#This Row],[Rank]] &amp; "")</f>
        <v>E-6</v>
      </c>
      <c r="F397" t="s">
        <v>100</v>
      </c>
      <c r="G397" t="str">
        <f>IF(StatusBranchGrade[[#This Row],[Rank]] = StatusBranchGrade[[#This Row],[Grade]], StatusBranchGrade[[#This Row],[Rank]], StatusBranchGrade[[#This Row],[Grade]] &amp; "/" &amp; StatusBranchGrade[[#This Row],[Rank]]) &amp; ""</f>
        <v>E-6</v>
      </c>
      <c r="H39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E-6</v>
      </c>
      <c r="I397" s="17" t="str">
        <f>SUBSTITUTE(SUBSTITUTE(SUBSTITUTE(StatusBranchGrade[[#This Row],[Status]] &amp; "  /  " &amp; StatusBranchGrade[[#This Row],[Branch]] &amp; ";", "  /  ;", ";"), "  /  ;", ";"), ";", "")</f>
        <v>Full-time Nat'l Guard  /  Marines</v>
      </c>
      <c r="J397">
        <v>12</v>
      </c>
      <c r="K397" s="17" t="str">
        <f>IF(LEFT(StatusBranchGrade[[#This Row],[Which]], 1) = "1", StatusBranchGrade[[#This Row],[Key]], "")</f>
        <v>Full-time Nat'l Guard  /  Marines  /  E-6</v>
      </c>
      <c r="L397" s="17" t="str">
        <f>IF(LEFT(StatusBranchGrade[[#This Row],[Which]], 1) = "1", StatusBranchGrade[[#This Row],[Key0]], "")</f>
        <v>Full-time Nat'l Guard  /  Marines</v>
      </c>
      <c r="M397" s="17" t="str">
        <f>IF(RIGHT(StatusBranchGrade[[#This Row],[Which]], 1) = "2", StatusBranchGrade[[#This Row],[Key]], "")</f>
        <v>Full-time Nat'l Guard  /  Marines  /  E-6</v>
      </c>
      <c r="N397" s="17" t="str">
        <f>IF(RIGHT(StatusBranchGrade[[#This Row],[Which]], 1) = "2", StatusBranchGrade[[#This Row],[Key0]], "")</f>
        <v>Full-time Nat'l Guard  /  Marines</v>
      </c>
      <c r="O397" s="17" t="s">
        <v>301</v>
      </c>
      <c r="P397" s="17"/>
      <c r="Q397" s="63">
        <f>--ISNUMBER(IF(StatusBranchGrade[[#This Row],[Sponsor0]] = 'Calculation Worksheet'!$AV$6 &amp; "  /  " &amp; 'Calculation Worksheet'!$AV$7, 1, ""))</f>
        <v>0</v>
      </c>
      <c r="R397" s="63" t="str">
        <f>IF(StatusBranchGrade[[#This Row],[S1]] = 1, COUNTIF($Q$3:Q397, 1), "")</f>
        <v/>
      </c>
      <c r="S397" s="63" t="str">
        <f>IFERROR(INDEX(StatusBranchGrade[Rank/Grade], MATCH(ROWS($R$3:R397)-1, StatusBranchGrade[S2], 0)), "") &amp; ""</f>
        <v/>
      </c>
      <c r="T397" s="63">
        <f>--ISNUMBER(IF(StatusBranchGrade[[#This Row],[Spouse0]] = 'Calculation Worksheet'!$CG$6 &amp; "  /  " &amp; 'Calculation Worksheet'!$CG$7, 1, ""))</f>
        <v>0</v>
      </c>
      <c r="U397" s="63" t="str">
        <f>IF(StatusBranchGrade[[#This Row],[T1]] = 1, COUNTIF($T$3:T397, 1), "")</f>
        <v/>
      </c>
      <c r="V397" s="63" t="str">
        <f>IFERROR(INDEX(StatusBranchGrade[Rank/Grade], MATCH(ROWS($U$3:U397)-1, StatusBranchGrade[T2], 0)), "") &amp; ""</f>
        <v/>
      </c>
      <c r="W397" s="63"/>
    </row>
    <row r="398" spans="1:23" x14ac:dyDescent="0.25">
      <c r="A398">
        <v>6</v>
      </c>
      <c r="B398" t="s">
        <v>390</v>
      </c>
      <c r="C398" t="s">
        <v>181</v>
      </c>
      <c r="D398" t="s">
        <v>99</v>
      </c>
      <c r="E398" t="str">
        <f>IF(StatusBranchGrade[[#This Row],[Status]] = "CYS", "DoD", StatusBranchGrade[[#This Row],[Rank]] &amp; "")</f>
        <v>E-7</v>
      </c>
      <c r="F398" t="s">
        <v>99</v>
      </c>
      <c r="G398" t="str">
        <f>IF(StatusBranchGrade[[#This Row],[Rank]] = StatusBranchGrade[[#This Row],[Grade]], StatusBranchGrade[[#This Row],[Rank]], StatusBranchGrade[[#This Row],[Grade]] &amp; "/" &amp; StatusBranchGrade[[#This Row],[Rank]]) &amp; ""</f>
        <v>E-7</v>
      </c>
      <c r="H39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E-7</v>
      </c>
      <c r="I398" s="17" t="str">
        <f>SUBSTITUTE(SUBSTITUTE(SUBSTITUTE(StatusBranchGrade[[#This Row],[Status]] &amp; "  /  " &amp; StatusBranchGrade[[#This Row],[Branch]] &amp; ";", "  /  ;", ";"), "  /  ;", ";"), ";", "")</f>
        <v>Full-time Nat'l Guard  /  Marines</v>
      </c>
      <c r="J398">
        <v>12</v>
      </c>
      <c r="K398" s="17" t="str">
        <f>IF(LEFT(StatusBranchGrade[[#This Row],[Which]], 1) = "1", StatusBranchGrade[[#This Row],[Key]], "")</f>
        <v>Full-time Nat'l Guard  /  Marines  /  E-7</v>
      </c>
      <c r="L398" s="17" t="str">
        <f>IF(LEFT(StatusBranchGrade[[#This Row],[Which]], 1) = "1", StatusBranchGrade[[#This Row],[Key0]], "")</f>
        <v>Full-time Nat'l Guard  /  Marines</v>
      </c>
      <c r="M398" s="17" t="str">
        <f>IF(RIGHT(StatusBranchGrade[[#This Row],[Which]], 1) = "2", StatusBranchGrade[[#This Row],[Key]], "")</f>
        <v>Full-time Nat'l Guard  /  Marines  /  E-7</v>
      </c>
      <c r="N398" s="17" t="str">
        <f>IF(RIGHT(StatusBranchGrade[[#This Row],[Which]], 1) = "2", StatusBranchGrade[[#This Row],[Key0]], "")</f>
        <v>Full-time Nat'l Guard  /  Marines</v>
      </c>
      <c r="O398" s="17" t="s">
        <v>301</v>
      </c>
      <c r="P398" s="17"/>
      <c r="Q398" s="63">
        <f>--ISNUMBER(IF(StatusBranchGrade[[#This Row],[Sponsor0]] = 'Calculation Worksheet'!$AV$6 &amp; "  /  " &amp; 'Calculation Worksheet'!$AV$7, 1, ""))</f>
        <v>0</v>
      </c>
      <c r="R398" s="63" t="str">
        <f>IF(StatusBranchGrade[[#This Row],[S1]] = 1, COUNTIF($Q$3:Q398, 1), "")</f>
        <v/>
      </c>
      <c r="S398" s="63" t="str">
        <f>IFERROR(INDEX(StatusBranchGrade[Rank/Grade], MATCH(ROWS($R$3:R398)-1, StatusBranchGrade[S2], 0)), "") &amp; ""</f>
        <v/>
      </c>
      <c r="T398" s="63">
        <f>--ISNUMBER(IF(StatusBranchGrade[[#This Row],[Spouse0]] = 'Calculation Worksheet'!$CG$6 &amp; "  /  " &amp; 'Calculation Worksheet'!$CG$7, 1, ""))</f>
        <v>0</v>
      </c>
      <c r="U398" s="63" t="str">
        <f>IF(StatusBranchGrade[[#This Row],[T1]] = 1, COUNTIF($T$3:T398, 1), "")</f>
        <v/>
      </c>
      <c r="V398" s="63" t="str">
        <f>IFERROR(INDEX(StatusBranchGrade[Rank/Grade], MATCH(ROWS($U$3:U398)-1, StatusBranchGrade[T2], 0)), "") &amp; ""</f>
        <v/>
      </c>
      <c r="W398" s="63"/>
    </row>
    <row r="399" spans="1:23" x14ac:dyDescent="0.25">
      <c r="A399">
        <v>6</v>
      </c>
      <c r="B399" t="s">
        <v>390</v>
      </c>
      <c r="C399" t="s">
        <v>181</v>
      </c>
      <c r="D399" t="s">
        <v>98</v>
      </c>
      <c r="E399" t="str">
        <f>IF(StatusBranchGrade[[#This Row],[Status]] = "CYS", "DoD", StatusBranchGrade[[#This Row],[Rank]] &amp; "")</f>
        <v>E-8</v>
      </c>
      <c r="F399" t="s">
        <v>98</v>
      </c>
      <c r="G399" t="str">
        <f>IF(StatusBranchGrade[[#This Row],[Rank]] = StatusBranchGrade[[#This Row],[Grade]], StatusBranchGrade[[#This Row],[Rank]], StatusBranchGrade[[#This Row],[Grade]] &amp; "/" &amp; StatusBranchGrade[[#This Row],[Rank]]) &amp; ""</f>
        <v>E-8</v>
      </c>
      <c r="H39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E-8</v>
      </c>
      <c r="I399" s="17" t="str">
        <f>SUBSTITUTE(SUBSTITUTE(SUBSTITUTE(StatusBranchGrade[[#This Row],[Status]] &amp; "  /  " &amp; StatusBranchGrade[[#This Row],[Branch]] &amp; ";", "  /  ;", ";"), "  /  ;", ";"), ";", "")</f>
        <v>Full-time Nat'l Guard  /  Marines</v>
      </c>
      <c r="J399">
        <v>12</v>
      </c>
      <c r="K399" s="17" t="str">
        <f>IF(LEFT(StatusBranchGrade[[#This Row],[Which]], 1) = "1", StatusBranchGrade[[#This Row],[Key]], "")</f>
        <v>Full-time Nat'l Guard  /  Marines  /  E-8</v>
      </c>
      <c r="L399" s="17" t="str">
        <f>IF(LEFT(StatusBranchGrade[[#This Row],[Which]], 1) = "1", StatusBranchGrade[[#This Row],[Key0]], "")</f>
        <v>Full-time Nat'l Guard  /  Marines</v>
      </c>
      <c r="M399" s="17" t="str">
        <f>IF(RIGHT(StatusBranchGrade[[#This Row],[Which]], 1) = "2", StatusBranchGrade[[#This Row],[Key]], "")</f>
        <v>Full-time Nat'l Guard  /  Marines  /  E-8</v>
      </c>
      <c r="N399" s="17" t="str">
        <f>IF(RIGHT(StatusBranchGrade[[#This Row],[Which]], 1) = "2", StatusBranchGrade[[#This Row],[Key0]], "")</f>
        <v>Full-time Nat'l Guard  /  Marines</v>
      </c>
      <c r="O399" s="17" t="s">
        <v>301</v>
      </c>
      <c r="P399" s="17"/>
      <c r="Q399" s="63">
        <f>--ISNUMBER(IF(StatusBranchGrade[[#This Row],[Sponsor0]] = 'Calculation Worksheet'!$AV$6 &amp; "  /  " &amp; 'Calculation Worksheet'!$AV$7, 1, ""))</f>
        <v>0</v>
      </c>
      <c r="R399" s="63" t="str">
        <f>IF(StatusBranchGrade[[#This Row],[S1]] = 1, COUNTIF($Q$3:Q399, 1), "")</f>
        <v/>
      </c>
      <c r="S399" s="63" t="str">
        <f>IFERROR(INDEX(StatusBranchGrade[Rank/Grade], MATCH(ROWS($R$3:R399)-1, StatusBranchGrade[S2], 0)), "") &amp; ""</f>
        <v/>
      </c>
      <c r="T399" s="63">
        <f>--ISNUMBER(IF(StatusBranchGrade[[#This Row],[Spouse0]] = 'Calculation Worksheet'!$CG$6 &amp; "  /  " &amp; 'Calculation Worksheet'!$CG$7, 1, ""))</f>
        <v>0</v>
      </c>
      <c r="U399" s="63" t="str">
        <f>IF(StatusBranchGrade[[#This Row],[T1]] = 1, COUNTIF($T$3:T399, 1), "")</f>
        <v/>
      </c>
      <c r="V399" s="63" t="str">
        <f>IFERROR(INDEX(StatusBranchGrade[Rank/Grade], MATCH(ROWS($U$3:U399)-1, StatusBranchGrade[T2], 0)), "") &amp; ""</f>
        <v/>
      </c>
      <c r="W399" s="63"/>
    </row>
    <row r="400" spans="1:23" x14ac:dyDescent="0.25">
      <c r="A400">
        <v>6</v>
      </c>
      <c r="B400" t="s">
        <v>390</v>
      </c>
      <c r="C400" t="s">
        <v>181</v>
      </c>
      <c r="D400" t="s">
        <v>97</v>
      </c>
      <c r="E400" t="str">
        <f>IF(StatusBranchGrade[[#This Row],[Status]] = "CYS", "DoD", StatusBranchGrade[[#This Row],[Rank]] &amp; "")</f>
        <v>E-9</v>
      </c>
      <c r="F400" t="s">
        <v>97</v>
      </c>
      <c r="G400" t="str">
        <f>IF(StatusBranchGrade[[#This Row],[Rank]] = StatusBranchGrade[[#This Row],[Grade]], StatusBranchGrade[[#This Row],[Rank]], StatusBranchGrade[[#This Row],[Grade]] &amp; "/" &amp; StatusBranchGrade[[#This Row],[Rank]]) &amp; ""</f>
        <v>E-9</v>
      </c>
      <c r="H40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E-9</v>
      </c>
      <c r="I400" s="17" t="str">
        <f>SUBSTITUTE(SUBSTITUTE(SUBSTITUTE(StatusBranchGrade[[#This Row],[Status]] &amp; "  /  " &amp; StatusBranchGrade[[#This Row],[Branch]] &amp; ";", "  /  ;", ";"), "  /  ;", ";"), ";", "")</f>
        <v>Full-time Nat'l Guard  /  Marines</v>
      </c>
      <c r="J400">
        <v>12</v>
      </c>
      <c r="K400" s="17" t="str">
        <f>IF(LEFT(StatusBranchGrade[[#This Row],[Which]], 1) = "1", StatusBranchGrade[[#This Row],[Key]], "")</f>
        <v>Full-time Nat'l Guard  /  Marines  /  E-9</v>
      </c>
      <c r="L400" s="17" t="str">
        <f>IF(LEFT(StatusBranchGrade[[#This Row],[Which]], 1) = "1", StatusBranchGrade[[#This Row],[Key0]], "")</f>
        <v>Full-time Nat'l Guard  /  Marines</v>
      </c>
      <c r="M400" s="17" t="str">
        <f>IF(RIGHT(StatusBranchGrade[[#This Row],[Which]], 1) = "2", StatusBranchGrade[[#This Row],[Key]], "")</f>
        <v>Full-time Nat'l Guard  /  Marines  /  E-9</v>
      </c>
      <c r="N400" s="17" t="str">
        <f>IF(RIGHT(StatusBranchGrade[[#This Row],[Which]], 1) = "2", StatusBranchGrade[[#This Row],[Key0]], "")</f>
        <v>Full-time Nat'l Guard  /  Marines</v>
      </c>
      <c r="O400" s="17" t="s">
        <v>301</v>
      </c>
      <c r="P400" s="17"/>
      <c r="Q400" s="63">
        <f>--ISNUMBER(IF(StatusBranchGrade[[#This Row],[Sponsor0]] = 'Calculation Worksheet'!$AV$6 &amp; "  /  " &amp; 'Calculation Worksheet'!$AV$7, 1, ""))</f>
        <v>0</v>
      </c>
      <c r="R400" s="63" t="str">
        <f>IF(StatusBranchGrade[[#This Row],[S1]] = 1, COUNTIF($Q$3:Q400, 1), "")</f>
        <v/>
      </c>
      <c r="S400" s="63" t="str">
        <f>IFERROR(INDEX(StatusBranchGrade[Rank/Grade], MATCH(ROWS($R$3:R400)-1, StatusBranchGrade[S2], 0)), "") &amp; ""</f>
        <v/>
      </c>
      <c r="T400" s="63">
        <f>--ISNUMBER(IF(StatusBranchGrade[[#This Row],[Spouse0]] = 'Calculation Worksheet'!$CG$6 &amp; "  /  " &amp; 'Calculation Worksheet'!$CG$7, 1, ""))</f>
        <v>0</v>
      </c>
      <c r="U400" s="63" t="str">
        <f>IF(StatusBranchGrade[[#This Row],[T1]] = 1, COUNTIF($T$3:T400, 1), "")</f>
        <v/>
      </c>
      <c r="V400" s="63" t="str">
        <f>IFERROR(INDEX(StatusBranchGrade[Rank/Grade], MATCH(ROWS($U$3:U400)-1, StatusBranchGrade[T2], 0)), "") &amp; ""</f>
        <v/>
      </c>
      <c r="W400" s="63"/>
    </row>
    <row r="401" spans="1:23" x14ac:dyDescent="0.25">
      <c r="A401">
        <v>6</v>
      </c>
      <c r="B401" t="s">
        <v>390</v>
      </c>
      <c r="C401" t="s">
        <v>181</v>
      </c>
      <c r="D401" t="s">
        <v>91</v>
      </c>
      <c r="E401" t="str">
        <f>IF(StatusBranchGrade[[#This Row],[Status]] = "CYS", "DoD", StatusBranchGrade[[#This Row],[Rank]] &amp; "")</f>
        <v>O-1</v>
      </c>
      <c r="F401" t="s">
        <v>91</v>
      </c>
      <c r="G401" t="str">
        <f>IF(StatusBranchGrade[[#This Row],[Rank]] = StatusBranchGrade[[#This Row],[Grade]], StatusBranchGrade[[#This Row],[Rank]], StatusBranchGrade[[#This Row],[Grade]] &amp; "/" &amp; StatusBranchGrade[[#This Row],[Rank]]) &amp; ""</f>
        <v>O-1</v>
      </c>
      <c r="H40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O-1</v>
      </c>
      <c r="I401" s="17" t="str">
        <f>SUBSTITUTE(SUBSTITUTE(SUBSTITUTE(StatusBranchGrade[[#This Row],[Status]] &amp; "  /  " &amp; StatusBranchGrade[[#This Row],[Branch]] &amp; ";", "  /  ;", ";"), "  /  ;", ";"), ";", "")</f>
        <v>Full-time Nat'l Guard  /  Marines</v>
      </c>
      <c r="J401">
        <v>12</v>
      </c>
      <c r="K401" s="17" t="str">
        <f>IF(LEFT(StatusBranchGrade[[#This Row],[Which]], 1) = "1", StatusBranchGrade[[#This Row],[Key]], "")</f>
        <v>Full-time Nat'l Guard  /  Marines  /  O-1</v>
      </c>
      <c r="L401" s="17" t="str">
        <f>IF(LEFT(StatusBranchGrade[[#This Row],[Which]], 1) = "1", StatusBranchGrade[[#This Row],[Key0]], "")</f>
        <v>Full-time Nat'l Guard  /  Marines</v>
      </c>
      <c r="M401" s="17" t="str">
        <f>IF(RIGHT(StatusBranchGrade[[#This Row],[Which]], 1) = "2", StatusBranchGrade[[#This Row],[Key]], "")</f>
        <v>Full-time Nat'l Guard  /  Marines  /  O-1</v>
      </c>
      <c r="N401" s="17" t="str">
        <f>IF(RIGHT(StatusBranchGrade[[#This Row],[Which]], 1) = "2", StatusBranchGrade[[#This Row],[Key0]], "")</f>
        <v>Full-time Nat'l Guard  /  Marines</v>
      </c>
      <c r="O401" s="17" t="s">
        <v>301</v>
      </c>
      <c r="P401" s="17"/>
      <c r="Q401" s="63">
        <f>--ISNUMBER(IF(StatusBranchGrade[[#This Row],[Sponsor0]] = 'Calculation Worksheet'!$AV$6 &amp; "  /  " &amp; 'Calculation Worksheet'!$AV$7, 1, ""))</f>
        <v>0</v>
      </c>
      <c r="R401" s="63" t="str">
        <f>IF(StatusBranchGrade[[#This Row],[S1]] = 1, COUNTIF($Q$3:Q401, 1), "")</f>
        <v/>
      </c>
      <c r="S401" s="63" t="str">
        <f>IFERROR(INDEX(StatusBranchGrade[Rank/Grade], MATCH(ROWS($R$3:R401)-1, StatusBranchGrade[S2], 0)), "") &amp; ""</f>
        <v/>
      </c>
      <c r="T401" s="63">
        <f>--ISNUMBER(IF(StatusBranchGrade[[#This Row],[Spouse0]] = 'Calculation Worksheet'!$CG$6 &amp; "  /  " &amp; 'Calculation Worksheet'!$CG$7, 1, ""))</f>
        <v>0</v>
      </c>
      <c r="U401" s="63" t="str">
        <f>IF(StatusBranchGrade[[#This Row],[T1]] = 1, COUNTIF($T$3:T401, 1), "")</f>
        <v/>
      </c>
      <c r="V401" s="63" t="str">
        <f>IFERROR(INDEX(StatusBranchGrade[Rank/Grade], MATCH(ROWS($U$3:U401)-1, StatusBranchGrade[T2], 0)), "") &amp; ""</f>
        <v/>
      </c>
      <c r="W401" s="63"/>
    </row>
    <row r="402" spans="1:23" x14ac:dyDescent="0.25">
      <c r="A402">
        <v>6</v>
      </c>
      <c r="B402" t="s">
        <v>390</v>
      </c>
      <c r="C402" t="s">
        <v>181</v>
      </c>
      <c r="D402" s="75" t="s">
        <v>10</v>
      </c>
      <c r="E402" s="75" t="str">
        <f>IF(StatusBranchGrade[[#This Row],[Status]] = "CYS", "DoD", StatusBranchGrade[[#This Row],[Rank]] &amp; "")</f>
        <v>O1E</v>
      </c>
      <c r="F402" s="75" t="s">
        <v>91</v>
      </c>
      <c r="G402" s="75" t="str">
        <f>IF(StatusBranchGrade[[#This Row],[Rank]] = StatusBranchGrade[[#This Row],[Grade]], StatusBranchGrade[[#This Row],[Rank]], StatusBranchGrade[[#This Row],[Grade]] &amp; "/" &amp; StatusBranchGrade[[#This Row],[Rank]]) &amp; ""</f>
        <v>O-1/O1E</v>
      </c>
      <c r="H40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O-1/O1E</v>
      </c>
      <c r="I402" s="17" t="str">
        <f>SUBSTITUTE(SUBSTITUTE(SUBSTITUTE(StatusBranchGrade[[#This Row],[Status]] &amp; "  /  " &amp; StatusBranchGrade[[#This Row],[Branch]] &amp; ";", "  /  ;", ";"), "  /  ;", ";"), ";", "")</f>
        <v>Full-time Nat'l Guard  /  Marines</v>
      </c>
      <c r="J402">
        <v>12</v>
      </c>
      <c r="K402" s="17" t="str">
        <f>IF(LEFT(StatusBranchGrade[[#This Row],[Which]], 1) = "1", StatusBranchGrade[[#This Row],[Key]], "")</f>
        <v>Full-time Nat'l Guard  /  Marines  /  O-1/O1E</v>
      </c>
      <c r="L402" s="17" t="str">
        <f>IF(LEFT(StatusBranchGrade[[#This Row],[Which]], 1) = "1", StatusBranchGrade[[#This Row],[Key0]], "")</f>
        <v>Full-time Nat'l Guard  /  Marines</v>
      </c>
      <c r="M402" s="17" t="str">
        <f>IF(RIGHT(StatusBranchGrade[[#This Row],[Which]], 1) = "2", StatusBranchGrade[[#This Row],[Key]], "")</f>
        <v>Full-time Nat'l Guard  /  Marines  /  O-1/O1E</v>
      </c>
      <c r="N402" s="17" t="str">
        <f>IF(RIGHT(StatusBranchGrade[[#This Row],[Which]], 1) = "2", StatusBranchGrade[[#This Row],[Key0]], "")</f>
        <v>Full-time Nat'l Guard  /  Marines</v>
      </c>
      <c r="O402" s="17" t="s">
        <v>301</v>
      </c>
      <c r="P402" s="17"/>
      <c r="Q402" s="63">
        <f>--ISNUMBER(IF(StatusBranchGrade[[#This Row],[Sponsor0]] = 'Calculation Worksheet'!$AV$6 &amp; "  /  " &amp; 'Calculation Worksheet'!$AV$7, 1, ""))</f>
        <v>0</v>
      </c>
      <c r="R402" s="63" t="str">
        <f>IF(StatusBranchGrade[[#This Row],[S1]] = 1, COUNTIF($Q$3:Q402, 1), "")</f>
        <v/>
      </c>
      <c r="S402" s="63" t="str">
        <f>IFERROR(INDEX(StatusBranchGrade[Rank/Grade], MATCH(ROWS($R$3:R402)-1, StatusBranchGrade[S2], 0)), "") &amp; ""</f>
        <v/>
      </c>
      <c r="T402" s="63">
        <f>--ISNUMBER(IF(StatusBranchGrade[[#This Row],[Spouse0]] = 'Calculation Worksheet'!$CG$6 &amp; "  /  " &amp; 'Calculation Worksheet'!$CG$7, 1, ""))</f>
        <v>0</v>
      </c>
      <c r="U402" s="63" t="str">
        <f>IF(StatusBranchGrade[[#This Row],[T1]] = 1, COUNTIF($T$3:T402, 1), "")</f>
        <v/>
      </c>
      <c r="V402" s="63" t="str">
        <f>IFERROR(INDEX(StatusBranchGrade[Rank/Grade], MATCH(ROWS($U$3:U402)-1, StatusBranchGrade[T2], 0)), "") &amp; ""</f>
        <v/>
      </c>
      <c r="W402" s="63"/>
    </row>
    <row r="403" spans="1:23" x14ac:dyDescent="0.25">
      <c r="A403">
        <v>6</v>
      </c>
      <c r="B403" t="s">
        <v>390</v>
      </c>
      <c r="C403" t="s">
        <v>181</v>
      </c>
      <c r="D403" t="s">
        <v>82</v>
      </c>
      <c r="E403" t="str">
        <f>IF(StatusBranchGrade[[#This Row],[Status]] = "CYS", "DoD", StatusBranchGrade[[#This Row],[Rank]] &amp; "")</f>
        <v>O-10</v>
      </c>
      <c r="F403" t="s">
        <v>82</v>
      </c>
      <c r="G403" t="str">
        <f>IF(StatusBranchGrade[[#This Row],[Rank]] = StatusBranchGrade[[#This Row],[Grade]], StatusBranchGrade[[#This Row],[Rank]], StatusBranchGrade[[#This Row],[Grade]] &amp; "/" &amp; StatusBranchGrade[[#This Row],[Rank]]) &amp; ""</f>
        <v>O-10</v>
      </c>
      <c r="H40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O-10</v>
      </c>
      <c r="I403" s="17" t="str">
        <f>SUBSTITUTE(SUBSTITUTE(SUBSTITUTE(StatusBranchGrade[[#This Row],[Status]] &amp; "  /  " &amp; StatusBranchGrade[[#This Row],[Branch]] &amp; ";", "  /  ;", ";"), "  /  ;", ";"), ";", "")</f>
        <v>Full-time Nat'l Guard  /  Marines</v>
      </c>
      <c r="J403">
        <v>12</v>
      </c>
      <c r="K403" s="17" t="str">
        <f>IF(LEFT(StatusBranchGrade[[#This Row],[Which]], 1) = "1", StatusBranchGrade[[#This Row],[Key]], "")</f>
        <v>Full-time Nat'l Guard  /  Marines  /  O-10</v>
      </c>
      <c r="L403" s="17" t="str">
        <f>IF(LEFT(StatusBranchGrade[[#This Row],[Which]], 1) = "1", StatusBranchGrade[[#This Row],[Key0]], "")</f>
        <v>Full-time Nat'l Guard  /  Marines</v>
      </c>
      <c r="M403" s="17" t="str">
        <f>IF(RIGHT(StatusBranchGrade[[#This Row],[Which]], 1) = "2", StatusBranchGrade[[#This Row],[Key]], "")</f>
        <v>Full-time Nat'l Guard  /  Marines  /  O-10</v>
      </c>
      <c r="N403" s="17" t="str">
        <f>IF(RIGHT(StatusBranchGrade[[#This Row],[Which]], 1) = "2", StatusBranchGrade[[#This Row],[Key0]], "")</f>
        <v>Full-time Nat'l Guard  /  Marines</v>
      </c>
      <c r="O403" s="17" t="s">
        <v>301</v>
      </c>
      <c r="P403" s="17"/>
      <c r="Q403" s="63">
        <f>--ISNUMBER(IF(StatusBranchGrade[[#This Row],[Sponsor0]] = 'Calculation Worksheet'!$AV$6 &amp; "  /  " &amp; 'Calculation Worksheet'!$AV$7, 1, ""))</f>
        <v>0</v>
      </c>
      <c r="R403" s="63" t="str">
        <f>IF(StatusBranchGrade[[#This Row],[S1]] = 1, COUNTIF($Q$3:Q403, 1), "")</f>
        <v/>
      </c>
      <c r="S403" s="63" t="str">
        <f>IFERROR(INDEX(StatusBranchGrade[Rank/Grade], MATCH(ROWS($R$3:R403)-1, StatusBranchGrade[S2], 0)), "") &amp; ""</f>
        <v/>
      </c>
      <c r="T403" s="63">
        <f>--ISNUMBER(IF(StatusBranchGrade[[#This Row],[Spouse0]] = 'Calculation Worksheet'!$CG$6 &amp; "  /  " &amp; 'Calculation Worksheet'!$CG$7, 1, ""))</f>
        <v>0</v>
      </c>
      <c r="U403" s="63" t="str">
        <f>IF(StatusBranchGrade[[#This Row],[T1]] = 1, COUNTIF($T$3:T403, 1), "")</f>
        <v/>
      </c>
      <c r="V403" s="63" t="str">
        <f>IFERROR(INDEX(StatusBranchGrade[Rank/Grade], MATCH(ROWS($U$3:U403)-1, StatusBranchGrade[T2], 0)), "") &amp; ""</f>
        <v/>
      </c>
      <c r="W403" s="63"/>
    </row>
    <row r="404" spans="1:23" x14ac:dyDescent="0.25">
      <c r="A404">
        <v>6</v>
      </c>
      <c r="B404" t="s">
        <v>390</v>
      </c>
      <c r="C404" t="s">
        <v>181</v>
      </c>
      <c r="D404" t="s">
        <v>90</v>
      </c>
      <c r="E404" t="str">
        <f>IF(StatusBranchGrade[[#This Row],[Status]] = "CYS", "DoD", StatusBranchGrade[[#This Row],[Rank]] &amp; "")</f>
        <v>O-2</v>
      </c>
      <c r="F404" t="s">
        <v>90</v>
      </c>
      <c r="G404" t="str">
        <f>IF(StatusBranchGrade[[#This Row],[Rank]] = StatusBranchGrade[[#This Row],[Grade]], StatusBranchGrade[[#This Row],[Rank]], StatusBranchGrade[[#This Row],[Grade]] &amp; "/" &amp; StatusBranchGrade[[#This Row],[Rank]]) &amp; ""</f>
        <v>O-2</v>
      </c>
      <c r="H40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O-2</v>
      </c>
      <c r="I404" s="17" t="str">
        <f>SUBSTITUTE(SUBSTITUTE(SUBSTITUTE(StatusBranchGrade[[#This Row],[Status]] &amp; "  /  " &amp; StatusBranchGrade[[#This Row],[Branch]] &amp; ";", "  /  ;", ";"), "  /  ;", ";"), ";", "")</f>
        <v>Full-time Nat'l Guard  /  Marines</v>
      </c>
      <c r="J404">
        <v>12</v>
      </c>
      <c r="K404" s="17" t="str">
        <f>IF(LEFT(StatusBranchGrade[[#This Row],[Which]], 1) = "1", StatusBranchGrade[[#This Row],[Key]], "")</f>
        <v>Full-time Nat'l Guard  /  Marines  /  O-2</v>
      </c>
      <c r="L404" s="17" t="str">
        <f>IF(LEFT(StatusBranchGrade[[#This Row],[Which]], 1) = "1", StatusBranchGrade[[#This Row],[Key0]], "")</f>
        <v>Full-time Nat'l Guard  /  Marines</v>
      </c>
      <c r="M404" s="17" t="str">
        <f>IF(RIGHT(StatusBranchGrade[[#This Row],[Which]], 1) = "2", StatusBranchGrade[[#This Row],[Key]], "")</f>
        <v>Full-time Nat'l Guard  /  Marines  /  O-2</v>
      </c>
      <c r="N404" s="17" t="str">
        <f>IF(RIGHT(StatusBranchGrade[[#This Row],[Which]], 1) = "2", StatusBranchGrade[[#This Row],[Key0]], "")</f>
        <v>Full-time Nat'l Guard  /  Marines</v>
      </c>
      <c r="O404" s="17" t="s">
        <v>301</v>
      </c>
      <c r="P404" s="17"/>
      <c r="Q404" s="63">
        <f>--ISNUMBER(IF(StatusBranchGrade[[#This Row],[Sponsor0]] = 'Calculation Worksheet'!$AV$6 &amp; "  /  " &amp; 'Calculation Worksheet'!$AV$7, 1, ""))</f>
        <v>0</v>
      </c>
      <c r="R404" s="63" t="str">
        <f>IF(StatusBranchGrade[[#This Row],[S1]] = 1, COUNTIF($Q$3:Q404, 1), "")</f>
        <v/>
      </c>
      <c r="S404" s="63" t="str">
        <f>IFERROR(INDEX(StatusBranchGrade[Rank/Grade], MATCH(ROWS($R$3:R404)-1, StatusBranchGrade[S2], 0)), "") &amp; ""</f>
        <v/>
      </c>
      <c r="T404" s="63">
        <f>--ISNUMBER(IF(StatusBranchGrade[[#This Row],[Spouse0]] = 'Calculation Worksheet'!$CG$6 &amp; "  /  " &amp; 'Calculation Worksheet'!$CG$7, 1, ""))</f>
        <v>0</v>
      </c>
      <c r="U404" s="63" t="str">
        <f>IF(StatusBranchGrade[[#This Row],[T1]] = 1, COUNTIF($T$3:T404, 1), "")</f>
        <v/>
      </c>
      <c r="V404" s="63" t="str">
        <f>IFERROR(INDEX(StatusBranchGrade[Rank/Grade], MATCH(ROWS($U$3:U404)-1, StatusBranchGrade[T2], 0)), "") &amp; ""</f>
        <v/>
      </c>
      <c r="W404" s="63"/>
    </row>
    <row r="405" spans="1:23" x14ac:dyDescent="0.25">
      <c r="A405">
        <v>6</v>
      </c>
      <c r="B405" t="s">
        <v>390</v>
      </c>
      <c r="C405" t="s">
        <v>181</v>
      </c>
      <c r="D405" s="75" t="s">
        <v>11</v>
      </c>
      <c r="E405" s="75" t="str">
        <f>IF(StatusBranchGrade[[#This Row],[Status]] = "CYS", "DoD", StatusBranchGrade[[#This Row],[Rank]] &amp; "")</f>
        <v>O2E</v>
      </c>
      <c r="F405" s="75" t="s">
        <v>90</v>
      </c>
      <c r="G405" s="75" t="str">
        <f>IF(StatusBranchGrade[[#This Row],[Rank]] = StatusBranchGrade[[#This Row],[Grade]], StatusBranchGrade[[#This Row],[Rank]], StatusBranchGrade[[#This Row],[Grade]] &amp; "/" &amp; StatusBranchGrade[[#This Row],[Rank]]) &amp; ""</f>
        <v>O-2/O2E</v>
      </c>
      <c r="H40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O-2/O2E</v>
      </c>
      <c r="I405" s="17" t="str">
        <f>SUBSTITUTE(SUBSTITUTE(SUBSTITUTE(StatusBranchGrade[[#This Row],[Status]] &amp; "  /  " &amp; StatusBranchGrade[[#This Row],[Branch]] &amp; ";", "  /  ;", ";"), "  /  ;", ";"), ";", "")</f>
        <v>Full-time Nat'l Guard  /  Marines</v>
      </c>
      <c r="J405">
        <v>12</v>
      </c>
      <c r="K405" s="17" t="str">
        <f>IF(LEFT(StatusBranchGrade[[#This Row],[Which]], 1) = "1", StatusBranchGrade[[#This Row],[Key]], "")</f>
        <v>Full-time Nat'l Guard  /  Marines  /  O-2/O2E</v>
      </c>
      <c r="L405" s="17" t="str">
        <f>IF(LEFT(StatusBranchGrade[[#This Row],[Which]], 1) = "1", StatusBranchGrade[[#This Row],[Key0]], "")</f>
        <v>Full-time Nat'l Guard  /  Marines</v>
      </c>
      <c r="M405" s="17" t="str">
        <f>IF(RIGHT(StatusBranchGrade[[#This Row],[Which]], 1) = "2", StatusBranchGrade[[#This Row],[Key]], "")</f>
        <v>Full-time Nat'l Guard  /  Marines  /  O-2/O2E</v>
      </c>
      <c r="N405" s="17" t="str">
        <f>IF(RIGHT(StatusBranchGrade[[#This Row],[Which]], 1) = "2", StatusBranchGrade[[#This Row],[Key0]], "")</f>
        <v>Full-time Nat'l Guard  /  Marines</v>
      </c>
      <c r="O405" s="17" t="s">
        <v>301</v>
      </c>
      <c r="P405" s="17"/>
      <c r="Q405" s="63">
        <f>--ISNUMBER(IF(StatusBranchGrade[[#This Row],[Sponsor0]] = 'Calculation Worksheet'!$AV$6 &amp; "  /  " &amp; 'Calculation Worksheet'!$AV$7, 1, ""))</f>
        <v>0</v>
      </c>
      <c r="R405" s="63" t="str">
        <f>IF(StatusBranchGrade[[#This Row],[S1]] = 1, COUNTIF($Q$3:Q405, 1), "")</f>
        <v/>
      </c>
      <c r="S405" s="63" t="str">
        <f>IFERROR(INDEX(StatusBranchGrade[Rank/Grade], MATCH(ROWS($R$3:R405)-1, StatusBranchGrade[S2], 0)), "") &amp; ""</f>
        <v/>
      </c>
      <c r="T405" s="63">
        <f>--ISNUMBER(IF(StatusBranchGrade[[#This Row],[Spouse0]] = 'Calculation Worksheet'!$CG$6 &amp; "  /  " &amp; 'Calculation Worksheet'!$CG$7, 1, ""))</f>
        <v>0</v>
      </c>
      <c r="U405" s="63" t="str">
        <f>IF(StatusBranchGrade[[#This Row],[T1]] = 1, COUNTIF($T$3:T405, 1), "")</f>
        <v/>
      </c>
      <c r="V405" s="63" t="str">
        <f>IFERROR(INDEX(StatusBranchGrade[Rank/Grade], MATCH(ROWS($U$3:U405)-1, StatusBranchGrade[T2], 0)), "") &amp; ""</f>
        <v/>
      </c>
      <c r="W405" s="63"/>
    </row>
    <row r="406" spans="1:23" x14ac:dyDescent="0.25">
      <c r="A406">
        <v>6</v>
      </c>
      <c r="B406" t="s">
        <v>390</v>
      </c>
      <c r="C406" t="s">
        <v>181</v>
      </c>
      <c r="D406" t="s">
        <v>89</v>
      </c>
      <c r="E406" t="str">
        <f>IF(StatusBranchGrade[[#This Row],[Status]] = "CYS", "DoD", StatusBranchGrade[[#This Row],[Rank]] &amp; "")</f>
        <v>O-3</v>
      </c>
      <c r="F406" t="s">
        <v>89</v>
      </c>
      <c r="G406" t="str">
        <f>IF(StatusBranchGrade[[#This Row],[Rank]] = StatusBranchGrade[[#This Row],[Grade]], StatusBranchGrade[[#This Row],[Rank]], StatusBranchGrade[[#This Row],[Grade]] &amp; "/" &amp; StatusBranchGrade[[#This Row],[Rank]]) &amp; ""</f>
        <v>O-3</v>
      </c>
      <c r="H40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O-3</v>
      </c>
      <c r="I406" s="17" t="str">
        <f>SUBSTITUTE(SUBSTITUTE(SUBSTITUTE(StatusBranchGrade[[#This Row],[Status]] &amp; "  /  " &amp; StatusBranchGrade[[#This Row],[Branch]] &amp; ";", "  /  ;", ";"), "  /  ;", ";"), ";", "")</f>
        <v>Full-time Nat'l Guard  /  Marines</v>
      </c>
      <c r="J406">
        <v>12</v>
      </c>
      <c r="K406" s="17" t="str">
        <f>IF(LEFT(StatusBranchGrade[[#This Row],[Which]], 1) = "1", StatusBranchGrade[[#This Row],[Key]], "")</f>
        <v>Full-time Nat'l Guard  /  Marines  /  O-3</v>
      </c>
      <c r="L406" s="17" t="str">
        <f>IF(LEFT(StatusBranchGrade[[#This Row],[Which]], 1) = "1", StatusBranchGrade[[#This Row],[Key0]], "")</f>
        <v>Full-time Nat'l Guard  /  Marines</v>
      </c>
      <c r="M406" s="17" t="str">
        <f>IF(RIGHT(StatusBranchGrade[[#This Row],[Which]], 1) = "2", StatusBranchGrade[[#This Row],[Key]], "")</f>
        <v>Full-time Nat'l Guard  /  Marines  /  O-3</v>
      </c>
      <c r="N406" s="17" t="str">
        <f>IF(RIGHT(StatusBranchGrade[[#This Row],[Which]], 1) = "2", StatusBranchGrade[[#This Row],[Key0]], "")</f>
        <v>Full-time Nat'l Guard  /  Marines</v>
      </c>
      <c r="O406" s="17" t="s">
        <v>301</v>
      </c>
      <c r="P406" s="17"/>
      <c r="Q406" s="63">
        <f>--ISNUMBER(IF(StatusBranchGrade[[#This Row],[Sponsor0]] = 'Calculation Worksheet'!$AV$6 &amp; "  /  " &amp; 'Calculation Worksheet'!$AV$7, 1, ""))</f>
        <v>0</v>
      </c>
      <c r="R406" s="63" t="str">
        <f>IF(StatusBranchGrade[[#This Row],[S1]] = 1, COUNTIF($Q$3:Q406, 1), "")</f>
        <v/>
      </c>
      <c r="S406" s="63" t="str">
        <f>IFERROR(INDEX(StatusBranchGrade[Rank/Grade], MATCH(ROWS($R$3:R406)-1, StatusBranchGrade[S2], 0)), "") &amp; ""</f>
        <v/>
      </c>
      <c r="T406" s="63">
        <f>--ISNUMBER(IF(StatusBranchGrade[[#This Row],[Spouse0]] = 'Calculation Worksheet'!$CG$6 &amp; "  /  " &amp; 'Calculation Worksheet'!$CG$7, 1, ""))</f>
        <v>0</v>
      </c>
      <c r="U406" s="63" t="str">
        <f>IF(StatusBranchGrade[[#This Row],[T1]] = 1, COUNTIF($T$3:T406, 1), "")</f>
        <v/>
      </c>
      <c r="V406" s="63" t="str">
        <f>IFERROR(INDEX(StatusBranchGrade[Rank/Grade], MATCH(ROWS($U$3:U406)-1, StatusBranchGrade[T2], 0)), "") &amp; ""</f>
        <v/>
      </c>
      <c r="W406" s="63"/>
    </row>
    <row r="407" spans="1:23" x14ac:dyDescent="0.25">
      <c r="A407">
        <v>6</v>
      </c>
      <c r="B407" t="s">
        <v>390</v>
      </c>
      <c r="C407" t="s">
        <v>181</v>
      </c>
      <c r="D407" s="75" t="s">
        <v>12</v>
      </c>
      <c r="E407" s="75" t="str">
        <f>IF(StatusBranchGrade[[#This Row],[Status]] = "CYS", "DoD", StatusBranchGrade[[#This Row],[Rank]] &amp; "")</f>
        <v>O3E</v>
      </c>
      <c r="F407" s="75" t="s">
        <v>89</v>
      </c>
      <c r="G407" s="75" t="str">
        <f>IF(StatusBranchGrade[[#This Row],[Rank]] = StatusBranchGrade[[#This Row],[Grade]], StatusBranchGrade[[#This Row],[Rank]], StatusBranchGrade[[#This Row],[Grade]] &amp; "/" &amp; StatusBranchGrade[[#This Row],[Rank]]) &amp; ""</f>
        <v>O-3/O3E</v>
      </c>
      <c r="H40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O-3/O3E</v>
      </c>
      <c r="I407" s="17" t="str">
        <f>SUBSTITUTE(SUBSTITUTE(SUBSTITUTE(StatusBranchGrade[[#This Row],[Status]] &amp; "  /  " &amp; StatusBranchGrade[[#This Row],[Branch]] &amp; ";", "  /  ;", ";"), "  /  ;", ";"), ";", "")</f>
        <v>Full-time Nat'l Guard  /  Marines</v>
      </c>
      <c r="J407">
        <v>12</v>
      </c>
      <c r="K407" s="17" t="str">
        <f>IF(LEFT(StatusBranchGrade[[#This Row],[Which]], 1) = "1", StatusBranchGrade[[#This Row],[Key]], "")</f>
        <v>Full-time Nat'l Guard  /  Marines  /  O-3/O3E</v>
      </c>
      <c r="L407" s="17" t="str">
        <f>IF(LEFT(StatusBranchGrade[[#This Row],[Which]], 1) = "1", StatusBranchGrade[[#This Row],[Key0]], "")</f>
        <v>Full-time Nat'l Guard  /  Marines</v>
      </c>
      <c r="M407" s="17" t="str">
        <f>IF(RIGHT(StatusBranchGrade[[#This Row],[Which]], 1) = "2", StatusBranchGrade[[#This Row],[Key]], "")</f>
        <v>Full-time Nat'l Guard  /  Marines  /  O-3/O3E</v>
      </c>
      <c r="N407" s="17" t="str">
        <f>IF(RIGHT(StatusBranchGrade[[#This Row],[Which]], 1) = "2", StatusBranchGrade[[#This Row],[Key0]], "")</f>
        <v>Full-time Nat'l Guard  /  Marines</v>
      </c>
      <c r="O407" s="17" t="s">
        <v>301</v>
      </c>
      <c r="P407" s="17"/>
      <c r="Q407" s="63">
        <f>--ISNUMBER(IF(StatusBranchGrade[[#This Row],[Sponsor0]] = 'Calculation Worksheet'!$AV$6 &amp; "  /  " &amp; 'Calculation Worksheet'!$AV$7, 1, ""))</f>
        <v>0</v>
      </c>
      <c r="R407" s="63" t="str">
        <f>IF(StatusBranchGrade[[#This Row],[S1]] = 1, COUNTIF($Q$3:Q407, 1), "")</f>
        <v/>
      </c>
      <c r="S407" s="63" t="str">
        <f>IFERROR(INDEX(StatusBranchGrade[Rank/Grade], MATCH(ROWS($R$3:R407)-1, StatusBranchGrade[S2], 0)), "") &amp; ""</f>
        <v/>
      </c>
      <c r="T407" s="63">
        <f>--ISNUMBER(IF(StatusBranchGrade[[#This Row],[Spouse0]] = 'Calculation Worksheet'!$CG$6 &amp; "  /  " &amp; 'Calculation Worksheet'!$CG$7, 1, ""))</f>
        <v>0</v>
      </c>
      <c r="U407" s="63" t="str">
        <f>IF(StatusBranchGrade[[#This Row],[T1]] = 1, COUNTIF($T$3:T407, 1), "")</f>
        <v/>
      </c>
      <c r="V407" s="63" t="str">
        <f>IFERROR(INDEX(StatusBranchGrade[Rank/Grade], MATCH(ROWS($U$3:U407)-1, StatusBranchGrade[T2], 0)), "") &amp; ""</f>
        <v/>
      </c>
      <c r="W407" s="63"/>
    </row>
    <row r="408" spans="1:23" x14ac:dyDescent="0.25">
      <c r="A408">
        <v>6</v>
      </c>
      <c r="B408" t="s">
        <v>390</v>
      </c>
      <c r="C408" t="s">
        <v>181</v>
      </c>
      <c r="D408" t="s">
        <v>88</v>
      </c>
      <c r="E408" t="str">
        <f>IF(StatusBranchGrade[[#This Row],[Status]] = "CYS", "DoD", StatusBranchGrade[[#This Row],[Rank]] &amp; "")</f>
        <v>O-4</v>
      </c>
      <c r="F408" t="s">
        <v>88</v>
      </c>
      <c r="G408" t="str">
        <f>IF(StatusBranchGrade[[#This Row],[Rank]] = StatusBranchGrade[[#This Row],[Grade]], StatusBranchGrade[[#This Row],[Rank]], StatusBranchGrade[[#This Row],[Grade]] &amp; "/" &amp; StatusBranchGrade[[#This Row],[Rank]]) &amp; ""</f>
        <v>O-4</v>
      </c>
      <c r="H40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O-4</v>
      </c>
      <c r="I408" s="17" t="str">
        <f>SUBSTITUTE(SUBSTITUTE(SUBSTITUTE(StatusBranchGrade[[#This Row],[Status]] &amp; "  /  " &amp; StatusBranchGrade[[#This Row],[Branch]] &amp; ";", "  /  ;", ";"), "  /  ;", ";"), ";", "")</f>
        <v>Full-time Nat'l Guard  /  Marines</v>
      </c>
      <c r="J408">
        <v>12</v>
      </c>
      <c r="K408" s="17" t="str">
        <f>IF(LEFT(StatusBranchGrade[[#This Row],[Which]], 1) = "1", StatusBranchGrade[[#This Row],[Key]], "")</f>
        <v>Full-time Nat'l Guard  /  Marines  /  O-4</v>
      </c>
      <c r="L408" s="17" t="str">
        <f>IF(LEFT(StatusBranchGrade[[#This Row],[Which]], 1) = "1", StatusBranchGrade[[#This Row],[Key0]], "")</f>
        <v>Full-time Nat'l Guard  /  Marines</v>
      </c>
      <c r="M408" s="17" t="str">
        <f>IF(RIGHT(StatusBranchGrade[[#This Row],[Which]], 1) = "2", StatusBranchGrade[[#This Row],[Key]], "")</f>
        <v>Full-time Nat'l Guard  /  Marines  /  O-4</v>
      </c>
      <c r="N408" s="17" t="str">
        <f>IF(RIGHT(StatusBranchGrade[[#This Row],[Which]], 1) = "2", StatusBranchGrade[[#This Row],[Key0]], "")</f>
        <v>Full-time Nat'l Guard  /  Marines</v>
      </c>
      <c r="O408" s="17" t="s">
        <v>301</v>
      </c>
      <c r="P408" s="17"/>
      <c r="Q408" s="63">
        <f>--ISNUMBER(IF(StatusBranchGrade[[#This Row],[Sponsor0]] = 'Calculation Worksheet'!$AV$6 &amp; "  /  " &amp; 'Calculation Worksheet'!$AV$7, 1, ""))</f>
        <v>0</v>
      </c>
      <c r="R408" s="63" t="str">
        <f>IF(StatusBranchGrade[[#This Row],[S1]] = 1, COUNTIF($Q$3:Q408, 1), "")</f>
        <v/>
      </c>
      <c r="S408" s="63" t="str">
        <f>IFERROR(INDEX(StatusBranchGrade[Rank/Grade], MATCH(ROWS($R$3:R408)-1, StatusBranchGrade[S2], 0)), "") &amp; ""</f>
        <v/>
      </c>
      <c r="T408" s="63">
        <f>--ISNUMBER(IF(StatusBranchGrade[[#This Row],[Spouse0]] = 'Calculation Worksheet'!$CG$6 &amp; "  /  " &amp; 'Calculation Worksheet'!$CG$7, 1, ""))</f>
        <v>0</v>
      </c>
      <c r="U408" s="63" t="str">
        <f>IF(StatusBranchGrade[[#This Row],[T1]] = 1, COUNTIF($T$3:T408, 1), "")</f>
        <v/>
      </c>
      <c r="V408" s="63" t="str">
        <f>IFERROR(INDEX(StatusBranchGrade[Rank/Grade], MATCH(ROWS($U$3:U408)-1, StatusBranchGrade[T2], 0)), "") &amp; ""</f>
        <v/>
      </c>
      <c r="W408" s="63"/>
    </row>
    <row r="409" spans="1:23" x14ac:dyDescent="0.25">
      <c r="A409">
        <v>6</v>
      </c>
      <c r="B409" t="s">
        <v>390</v>
      </c>
      <c r="C409" t="s">
        <v>181</v>
      </c>
      <c r="D409" t="s">
        <v>87</v>
      </c>
      <c r="E409" t="str">
        <f>IF(StatusBranchGrade[[#This Row],[Status]] = "CYS", "DoD", StatusBranchGrade[[#This Row],[Rank]] &amp; "")</f>
        <v>O-5</v>
      </c>
      <c r="F409" t="s">
        <v>87</v>
      </c>
      <c r="G409" t="str">
        <f>IF(StatusBranchGrade[[#This Row],[Rank]] = StatusBranchGrade[[#This Row],[Grade]], StatusBranchGrade[[#This Row],[Rank]], StatusBranchGrade[[#This Row],[Grade]] &amp; "/" &amp; StatusBranchGrade[[#This Row],[Rank]]) &amp; ""</f>
        <v>O-5</v>
      </c>
      <c r="H40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O-5</v>
      </c>
      <c r="I409" s="17" t="str">
        <f>SUBSTITUTE(SUBSTITUTE(SUBSTITUTE(StatusBranchGrade[[#This Row],[Status]] &amp; "  /  " &amp; StatusBranchGrade[[#This Row],[Branch]] &amp; ";", "  /  ;", ";"), "  /  ;", ";"), ";", "")</f>
        <v>Full-time Nat'l Guard  /  Marines</v>
      </c>
      <c r="J409">
        <v>12</v>
      </c>
      <c r="K409" s="17" t="str">
        <f>IF(LEFT(StatusBranchGrade[[#This Row],[Which]], 1) = "1", StatusBranchGrade[[#This Row],[Key]], "")</f>
        <v>Full-time Nat'l Guard  /  Marines  /  O-5</v>
      </c>
      <c r="L409" s="17" t="str">
        <f>IF(LEFT(StatusBranchGrade[[#This Row],[Which]], 1) = "1", StatusBranchGrade[[#This Row],[Key0]], "")</f>
        <v>Full-time Nat'l Guard  /  Marines</v>
      </c>
      <c r="M409" s="17" t="str">
        <f>IF(RIGHT(StatusBranchGrade[[#This Row],[Which]], 1) = "2", StatusBranchGrade[[#This Row],[Key]], "")</f>
        <v>Full-time Nat'l Guard  /  Marines  /  O-5</v>
      </c>
      <c r="N409" s="17" t="str">
        <f>IF(RIGHT(StatusBranchGrade[[#This Row],[Which]], 1) = "2", StatusBranchGrade[[#This Row],[Key0]], "")</f>
        <v>Full-time Nat'l Guard  /  Marines</v>
      </c>
      <c r="O409" s="17" t="s">
        <v>301</v>
      </c>
      <c r="P409" s="17"/>
      <c r="Q409" s="63">
        <f>--ISNUMBER(IF(StatusBranchGrade[[#This Row],[Sponsor0]] = 'Calculation Worksheet'!$AV$6 &amp; "  /  " &amp; 'Calculation Worksheet'!$AV$7, 1, ""))</f>
        <v>0</v>
      </c>
      <c r="R409" s="63" t="str">
        <f>IF(StatusBranchGrade[[#This Row],[S1]] = 1, COUNTIF($Q$3:Q409, 1), "")</f>
        <v/>
      </c>
      <c r="S409" s="63" t="str">
        <f>IFERROR(INDEX(StatusBranchGrade[Rank/Grade], MATCH(ROWS($R$3:R409)-1, StatusBranchGrade[S2], 0)), "") &amp; ""</f>
        <v/>
      </c>
      <c r="T409" s="63">
        <f>--ISNUMBER(IF(StatusBranchGrade[[#This Row],[Spouse0]] = 'Calculation Worksheet'!$CG$6 &amp; "  /  " &amp; 'Calculation Worksheet'!$CG$7, 1, ""))</f>
        <v>0</v>
      </c>
      <c r="U409" s="63" t="str">
        <f>IF(StatusBranchGrade[[#This Row],[T1]] = 1, COUNTIF($T$3:T409, 1), "")</f>
        <v/>
      </c>
      <c r="V409" s="63" t="str">
        <f>IFERROR(INDEX(StatusBranchGrade[Rank/Grade], MATCH(ROWS($U$3:U409)-1, StatusBranchGrade[T2], 0)), "") &amp; ""</f>
        <v/>
      </c>
      <c r="W409" s="63"/>
    </row>
    <row r="410" spans="1:23" x14ac:dyDescent="0.25">
      <c r="A410">
        <v>6</v>
      </c>
      <c r="B410" t="s">
        <v>390</v>
      </c>
      <c r="C410" t="s">
        <v>181</v>
      </c>
      <c r="D410" t="s">
        <v>86</v>
      </c>
      <c r="E410" t="str">
        <f>IF(StatusBranchGrade[[#This Row],[Status]] = "CYS", "DoD", StatusBranchGrade[[#This Row],[Rank]] &amp; "")</f>
        <v>O-6</v>
      </c>
      <c r="F410" t="s">
        <v>86</v>
      </c>
      <c r="G410" t="str">
        <f>IF(StatusBranchGrade[[#This Row],[Rank]] = StatusBranchGrade[[#This Row],[Grade]], StatusBranchGrade[[#This Row],[Rank]], StatusBranchGrade[[#This Row],[Grade]] &amp; "/" &amp; StatusBranchGrade[[#This Row],[Rank]]) &amp; ""</f>
        <v>O-6</v>
      </c>
      <c r="H4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O-6</v>
      </c>
      <c r="I410" s="17" t="str">
        <f>SUBSTITUTE(SUBSTITUTE(SUBSTITUTE(StatusBranchGrade[[#This Row],[Status]] &amp; "  /  " &amp; StatusBranchGrade[[#This Row],[Branch]] &amp; ";", "  /  ;", ";"), "  /  ;", ";"), ";", "")</f>
        <v>Full-time Nat'l Guard  /  Marines</v>
      </c>
      <c r="J410">
        <v>12</v>
      </c>
      <c r="K410" s="17" t="str">
        <f>IF(LEFT(StatusBranchGrade[[#This Row],[Which]], 1) = "1", StatusBranchGrade[[#This Row],[Key]], "")</f>
        <v>Full-time Nat'l Guard  /  Marines  /  O-6</v>
      </c>
      <c r="L410" s="17" t="str">
        <f>IF(LEFT(StatusBranchGrade[[#This Row],[Which]], 1) = "1", StatusBranchGrade[[#This Row],[Key0]], "")</f>
        <v>Full-time Nat'l Guard  /  Marines</v>
      </c>
      <c r="M410" s="17" t="str">
        <f>IF(RIGHT(StatusBranchGrade[[#This Row],[Which]], 1) = "2", StatusBranchGrade[[#This Row],[Key]], "")</f>
        <v>Full-time Nat'l Guard  /  Marines  /  O-6</v>
      </c>
      <c r="N410" s="17" t="str">
        <f>IF(RIGHT(StatusBranchGrade[[#This Row],[Which]], 1) = "2", StatusBranchGrade[[#This Row],[Key0]], "")</f>
        <v>Full-time Nat'l Guard  /  Marines</v>
      </c>
      <c r="O410" s="17" t="s">
        <v>301</v>
      </c>
      <c r="P410" s="17"/>
      <c r="Q410" s="63">
        <f>--ISNUMBER(IF(StatusBranchGrade[[#This Row],[Sponsor0]] = 'Calculation Worksheet'!$AV$6 &amp; "  /  " &amp; 'Calculation Worksheet'!$AV$7, 1, ""))</f>
        <v>0</v>
      </c>
      <c r="R410" s="63" t="str">
        <f>IF(StatusBranchGrade[[#This Row],[S1]] = 1, COUNTIF($Q$3:Q410, 1), "")</f>
        <v/>
      </c>
      <c r="S410" s="63" t="str">
        <f>IFERROR(INDEX(StatusBranchGrade[Rank/Grade], MATCH(ROWS($R$3:R410)-1, StatusBranchGrade[S2], 0)), "") &amp; ""</f>
        <v/>
      </c>
      <c r="T410" s="63">
        <f>--ISNUMBER(IF(StatusBranchGrade[[#This Row],[Spouse0]] = 'Calculation Worksheet'!$CG$6 &amp; "  /  " &amp; 'Calculation Worksheet'!$CG$7, 1, ""))</f>
        <v>0</v>
      </c>
      <c r="U410" s="63" t="str">
        <f>IF(StatusBranchGrade[[#This Row],[T1]] = 1, COUNTIF($T$3:T410, 1), "")</f>
        <v/>
      </c>
      <c r="V410" s="63" t="str">
        <f>IFERROR(INDEX(StatusBranchGrade[Rank/Grade], MATCH(ROWS($U$3:U410)-1, StatusBranchGrade[T2], 0)), "") &amp; ""</f>
        <v/>
      </c>
      <c r="W410" s="63"/>
    </row>
    <row r="411" spans="1:23" x14ac:dyDescent="0.25">
      <c r="A411">
        <v>6</v>
      </c>
      <c r="B411" t="s">
        <v>390</v>
      </c>
      <c r="C411" t="s">
        <v>181</v>
      </c>
      <c r="D411" t="s">
        <v>85</v>
      </c>
      <c r="E411" t="str">
        <f>IF(StatusBranchGrade[[#This Row],[Status]] = "CYS", "DoD", StatusBranchGrade[[#This Row],[Rank]] &amp; "")</f>
        <v>O-7</v>
      </c>
      <c r="F411" t="s">
        <v>85</v>
      </c>
      <c r="G411" t="str">
        <f>IF(StatusBranchGrade[[#This Row],[Rank]] = StatusBranchGrade[[#This Row],[Grade]], StatusBranchGrade[[#This Row],[Rank]], StatusBranchGrade[[#This Row],[Grade]] &amp; "/" &amp; StatusBranchGrade[[#This Row],[Rank]]) &amp; ""</f>
        <v>O-7</v>
      </c>
      <c r="H4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O-7</v>
      </c>
      <c r="I411" s="17" t="str">
        <f>SUBSTITUTE(SUBSTITUTE(SUBSTITUTE(StatusBranchGrade[[#This Row],[Status]] &amp; "  /  " &amp; StatusBranchGrade[[#This Row],[Branch]] &amp; ";", "  /  ;", ";"), "  /  ;", ";"), ";", "")</f>
        <v>Full-time Nat'l Guard  /  Marines</v>
      </c>
      <c r="J411">
        <v>12</v>
      </c>
      <c r="K411" s="17" t="str">
        <f>IF(LEFT(StatusBranchGrade[[#This Row],[Which]], 1) = "1", StatusBranchGrade[[#This Row],[Key]], "")</f>
        <v>Full-time Nat'l Guard  /  Marines  /  O-7</v>
      </c>
      <c r="L411" s="17" t="str">
        <f>IF(LEFT(StatusBranchGrade[[#This Row],[Which]], 1) = "1", StatusBranchGrade[[#This Row],[Key0]], "")</f>
        <v>Full-time Nat'l Guard  /  Marines</v>
      </c>
      <c r="M411" s="17" t="str">
        <f>IF(RIGHT(StatusBranchGrade[[#This Row],[Which]], 1) = "2", StatusBranchGrade[[#This Row],[Key]], "")</f>
        <v>Full-time Nat'l Guard  /  Marines  /  O-7</v>
      </c>
      <c r="N411" s="17" t="str">
        <f>IF(RIGHT(StatusBranchGrade[[#This Row],[Which]], 1) = "2", StatusBranchGrade[[#This Row],[Key0]], "")</f>
        <v>Full-time Nat'l Guard  /  Marines</v>
      </c>
      <c r="O411" s="17" t="s">
        <v>301</v>
      </c>
      <c r="P411" s="17"/>
      <c r="Q411" s="63">
        <f>--ISNUMBER(IF(StatusBranchGrade[[#This Row],[Sponsor0]] = 'Calculation Worksheet'!$AV$6 &amp; "  /  " &amp; 'Calculation Worksheet'!$AV$7, 1, ""))</f>
        <v>0</v>
      </c>
      <c r="R411" s="63" t="str">
        <f>IF(StatusBranchGrade[[#This Row],[S1]] = 1, COUNTIF($Q$3:Q411, 1), "")</f>
        <v/>
      </c>
      <c r="S411" s="63" t="str">
        <f>IFERROR(INDEX(StatusBranchGrade[Rank/Grade], MATCH(ROWS($R$3:R411)-1, StatusBranchGrade[S2], 0)), "") &amp; ""</f>
        <v/>
      </c>
      <c r="T411" s="63">
        <f>--ISNUMBER(IF(StatusBranchGrade[[#This Row],[Spouse0]] = 'Calculation Worksheet'!$CG$6 &amp; "  /  " &amp; 'Calculation Worksheet'!$CG$7, 1, ""))</f>
        <v>0</v>
      </c>
      <c r="U411" s="63" t="str">
        <f>IF(StatusBranchGrade[[#This Row],[T1]] = 1, COUNTIF($T$3:T411, 1), "")</f>
        <v/>
      </c>
      <c r="V411" s="63" t="str">
        <f>IFERROR(INDEX(StatusBranchGrade[Rank/Grade], MATCH(ROWS($U$3:U411)-1, StatusBranchGrade[T2], 0)), "") &amp; ""</f>
        <v/>
      </c>
      <c r="W411" s="63"/>
    </row>
    <row r="412" spans="1:23" x14ac:dyDescent="0.25">
      <c r="A412">
        <v>6</v>
      </c>
      <c r="B412" t="s">
        <v>390</v>
      </c>
      <c r="C412" t="s">
        <v>181</v>
      </c>
      <c r="D412" t="s">
        <v>84</v>
      </c>
      <c r="E412" t="str">
        <f>IF(StatusBranchGrade[[#This Row],[Status]] = "CYS", "DoD", StatusBranchGrade[[#This Row],[Rank]] &amp; "")</f>
        <v>O-8</v>
      </c>
      <c r="F412" t="s">
        <v>84</v>
      </c>
      <c r="G412" t="str">
        <f>IF(StatusBranchGrade[[#This Row],[Rank]] = StatusBranchGrade[[#This Row],[Grade]], StatusBranchGrade[[#This Row],[Rank]], StatusBranchGrade[[#This Row],[Grade]] &amp; "/" &amp; StatusBranchGrade[[#This Row],[Rank]]) &amp; ""</f>
        <v>O-8</v>
      </c>
      <c r="H4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O-8</v>
      </c>
      <c r="I412" s="17" t="str">
        <f>SUBSTITUTE(SUBSTITUTE(SUBSTITUTE(StatusBranchGrade[[#This Row],[Status]] &amp; "  /  " &amp; StatusBranchGrade[[#This Row],[Branch]] &amp; ";", "  /  ;", ";"), "  /  ;", ";"), ";", "")</f>
        <v>Full-time Nat'l Guard  /  Marines</v>
      </c>
      <c r="J412">
        <v>12</v>
      </c>
      <c r="K412" s="17" t="str">
        <f>IF(LEFT(StatusBranchGrade[[#This Row],[Which]], 1) = "1", StatusBranchGrade[[#This Row],[Key]], "")</f>
        <v>Full-time Nat'l Guard  /  Marines  /  O-8</v>
      </c>
      <c r="L412" s="17" t="str">
        <f>IF(LEFT(StatusBranchGrade[[#This Row],[Which]], 1) = "1", StatusBranchGrade[[#This Row],[Key0]], "")</f>
        <v>Full-time Nat'l Guard  /  Marines</v>
      </c>
      <c r="M412" s="17" t="str">
        <f>IF(RIGHT(StatusBranchGrade[[#This Row],[Which]], 1) = "2", StatusBranchGrade[[#This Row],[Key]], "")</f>
        <v>Full-time Nat'l Guard  /  Marines  /  O-8</v>
      </c>
      <c r="N412" s="17" t="str">
        <f>IF(RIGHT(StatusBranchGrade[[#This Row],[Which]], 1) = "2", StatusBranchGrade[[#This Row],[Key0]], "")</f>
        <v>Full-time Nat'l Guard  /  Marines</v>
      </c>
      <c r="O412" s="17" t="s">
        <v>301</v>
      </c>
      <c r="P412" s="17"/>
      <c r="Q412" s="63">
        <f>--ISNUMBER(IF(StatusBranchGrade[[#This Row],[Sponsor0]] = 'Calculation Worksheet'!$AV$6 &amp; "  /  " &amp; 'Calculation Worksheet'!$AV$7, 1, ""))</f>
        <v>0</v>
      </c>
      <c r="R412" s="63" t="str">
        <f>IF(StatusBranchGrade[[#This Row],[S1]] = 1, COUNTIF($Q$3:Q412, 1), "")</f>
        <v/>
      </c>
      <c r="S412" s="63" t="str">
        <f>IFERROR(INDEX(StatusBranchGrade[Rank/Grade], MATCH(ROWS($R$3:R412)-1, StatusBranchGrade[S2], 0)), "") &amp; ""</f>
        <v/>
      </c>
      <c r="T412" s="63">
        <f>--ISNUMBER(IF(StatusBranchGrade[[#This Row],[Spouse0]] = 'Calculation Worksheet'!$CG$6 &amp; "  /  " &amp; 'Calculation Worksheet'!$CG$7, 1, ""))</f>
        <v>0</v>
      </c>
      <c r="U412" s="63" t="str">
        <f>IF(StatusBranchGrade[[#This Row],[T1]] = 1, COUNTIF($T$3:T412, 1), "")</f>
        <v/>
      </c>
      <c r="V412" s="63" t="str">
        <f>IFERROR(INDEX(StatusBranchGrade[Rank/Grade], MATCH(ROWS($U$3:U412)-1, StatusBranchGrade[T2], 0)), "") &amp; ""</f>
        <v/>
      </c>
      <c r="W412" s="63"/>
    </row>
    <row r="413" spans="1:23" x14ac:dyDescent="0.25">
      <c r="A413">
        <v>6</v>
      </c>
      <c r="B413" t="s">
        <v>390</v>
      </c>
      <c r="C413" t="s">
        <v>181</v>
      </c>
      <c r="D413" t="s">
        <v>83</v>
      </c>
      <c r="E413" t="str">
        <f>IF(StatusBranchGrade[[#This Row],[Status]] = "CYS", "DoD", StatusBranchGrade[[#This Row],[Rank]] &amp; "")</f>
        <v>O-9</v>
      </c>
      <c r="F413" t="s">
        <v>83</v>
      </c>
      <c r="G413" t="str">
        <f>IF(StatusBranchGrade[[#This Row],[Rank]] = StatusBranchGrade[[#This Row],[Grade]], StatusBranchGrade[[#This Row],[Rank]], StatusBranchGrade[[#This Row],[Grade]] &amp; "/" &amp; StatusBranchGrade[[#This Row],[Rank]]) &amp; ""</f>
        <v>O-9</v>
      </c>
      <c r="H4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O-9</v>
      </c>
      <c r="I413" s="17" t="str">
        <f>SUBSTITUTE(SUBSTITUTE(SUBSTITUTE(StatusBranchGrade[[#This Row],[Status]] &amp; "  /  " &amp; StatusBranchGrade[[#This Row],[Branch]] &amp; ";", "  /  ;", ";"), "  /  ;", ";"), ";", "")</f>
        <v>Full-time Nat'l Guard  /  Marines</v>
      </c>
      <c r="J413">
        <v>12</v>
      </c>
      <c r="K413" s="17" t="str">
        <f>IF(LEFT(StatusBranchGrade[[#This Row],[Which]], 1) = "1", StatusBranchGrade[[#This Row],[Key]], "")</f>
        <v>Full-time Nat'l Guard  /  Marines  /  O-9</v>
      </c>
      <c r="L413" s="17" t="str">
        <f>IF(LEFT(StatusBranchGrade[[#This Row],[Which]], 1) = "1", StatusBranchGrade[[#This Row],[Key0]], "")</f>
        <v>Full-time Nat'l Guard  /  Marines</v>
      </c>
      <c r="M413" s="17" t="str">
        <f>IF(RIGHT(StatusBranchGrade[[#This Row],[Which]], 1) = "2", StatusBranchGrade[[#This Row],[Key]], "")</f>
        <v>Full-time Nat'l Guard  /  Marines  /  O-9</v>
      </c>
      <c r="N413" s="17" t="str">
        <f>IF(RIGHT(StatusBranchGrade[[#This Row],[Which]], 1) = "2", StatusBranchGrade[[#This Row],[Key0]], "")</f>
        <v>Full-time Nat'l Guard  /  Marines</v>
      </c>
      <c r="O413" s="17" t="s">
        <v>301</v>
      </c>
      <c r="P413" s="17"/>
      <c r="Q413" s="63">
        <f>--ISNUMBER(IF(StatusBranchGrade[[#This Row],[Sponsor0]] = 'Calculation Worksheet'!$AV$6 &amp; "  /  " &amp; 'Calculation Worksheet'!$AV$7, 1, ""))</f>
        <v>0</v>
      </c>
      <c r="R413" s="63" t="str">
        <f>IF(StatusBranchGrade[[#This Row],[S1]] = 1, COUNTIF($Q$3:Q413, 1), "")</f>
        <v/>
      </c>
      <c r="S413" s="63" t="str">
        <f>IFERROR(INDEX(StatusBranchGrade[Rank/Grade], MATCH(ROWS($R$3:R413)-1, StatusBranchGrade[S2], 0)), "") &amp; ""</f>
        <v/>
      </c>
      <c r="T413" s="63">
        <f>--ISNUMBER(IF(StatusBranchGrade[[#This Row],[Spouse0]] = 'Calculation Worksheet'!$CG$6 &amp; "  /  " &amp; 'Calculation Worksheet'!$CG$7, 1, ""))</f>
        <v>0</v>
      </c>
      <c r="U413" s="63" t="str">
        <f>IF(StatusBranchGrade[[#This Row],[T1]] = 1, COUNTIF($T$3:T413, 1), "")</f>
        <v/>
      </c>
      <c r="V413" s="63" t="str">
        <f>IFERROR(INDEX(StatusBranchGrade[Rank/Grade], MATCH(ROWS($U$3:U413)-1, StatusBranchGrade[T2], 0)), "") &amp; ""</f>
        <v/>
      </c>
      <c r="W413" s="63"/>
    </row>
    <row r="414" spans="1:23" x14ac:dyDescent="0.25">
      <c r="A414">
        <v>6</v>
      </c>
      <c r="B414" t="s">
        <v>390</v>
      </c>
      <c r="C414" t="s">
        <v>181</v>
      </c>
      <c r="D414" t="s">
        <v>95</v>
      </c>
      <c r="E414" t="str">
        <f>IF(StatusBranchGrade[[#This Row],[Status]] = "CYS", "DoD", StatusBranchGrade[[#This Row],[Rank]] &amp; "")</f>
        <v>W-2</v>
      </c>
      <c r="F414" t="s">
        <v>95</v>
      </c>
      <c r="G414" t="str">
        <f>IF(StatusBranchGrade[[#This Row],[Rank]] = StatusBranchGrade[[#This Row],[Grade]], StatusBranchGrade[[#This Row],[Rank]], StatusBranchGrade[[#This Row],[Grade]] &amp; "/" &amp; StatusBranchGrade[[#This Row],[Rank]]) &amp; ""</f>
        <v>W-2</v>
      </c>
      <c r="H4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W-2</v>
      </c>
      <c r="I414" s="17" t="str">
        <f>SUBSTITUTE(SUBSTITUTE(SUBSTITUTE(StatusBranchGrade[[#This Row],[Status]] &amp; "  /  " &amp; StatusBranchGrade[[#This Row],[Branch]] &amp; ";", "  /  ;", ";"), "  /  ;", ";"), ";", "")</f>
        <v>Full-time Nat'l Guard  /  Marines</v>
      </c>
      <c r="J414">
        <v>12</v>
      </c>
      <c r="K414" s="17" t="str">
        <f>IF(LEFT(StatusBranchGrade[[#This Row],[Which]], 1) = "1", StatusBranchGrade[[#This Row],[Key]], "")</f>
        <v>Full-time Nat'l Guard  /  Marines  /  W-2</v>
      </c>
      <c r="L414" s="17" t="str">
        <f>IF(LEFT(StatusBranchGrade[[#This Row],[Which]], 1) = "1", StatusBranchGrade[[#This Row],[Key0]], "")</f>
        <v>Full-time Nat'l Guard  /  Marines</v>
      </c>
      <c r="M414" s="17" t="str">
        <f>IF(RIGHT(StatusBranchGrade[[#This Row],[Which]], 1) = "2", StatusBranchGrade[[#This Row],[Key]], "")</f>
        <v>Full-time Nat'l Guard  /  Marines  /  W-2</v>
      </c>
      <c r="N414" s="17" t="str">
        <f>IF(RIGHT(StatusBranchGrade[[#This Row],[Which]], 1) = "2", StatusBranchGrade[[#This Row],[Key0]], "")</f>
        <v>Full-time Nat'l Guard  /  Marines</v>
      </c>
      <c r="O414" s="17" t="s">
        <v>301</v>
      </c>
      <c r="P414" s="17"/>
      <c r="Q414" s="63">
        <f>--ISNUMBER(IF(StatusBranchGrade[[#This Row],[Sponsor0]] = 'Calculation Worksheet'!$AV$6 &amp; "  /  " &amp; 'Calculation Worksheet'!$AV$7, 1, ""))</f>
        <v>0</v>
      </c>
      <c r="R414" s="63" t="str">
        <f>IF(StatusBranchGrade[[#This Row],[S1]] = 1, COUNTIF($Q$3:Q414, 1), "")</f>
        <v/>
      </c>
      <c r="S414" s="63" t="str">
        <f>IFERROR(INDEX(StatusBranchGrade[Rank/Grade], MATCH(ROWS($R$3:R414)-1, StatusBranchGrade[S2], 0)), "") &amp; ""</f>
        <v/>
      </c>
      <c r="T414" s="63">
        <f>--ISNUMBER(IF(StatusBranchGrade[[#This Row],[Spouse0]] = 'Calculation Worksheet'!$CG$6 &amp; "  /  " &amp; 'Calculation Worksheet'!$CG$7, 1, ""))</f>
        <v>0</v>
      </c>
      <c r="U414" s="63" t="str">
        <f>IF(StatusBranchGrade[[#This Row],[T1]] = 1, COUNTIF($T$3:T414, 1), "")</f>
        <v/>
      </c>
      <c r="V414" s="63" t="str">
        <f>IFERROR(INDEX(StatusBranchGrade[Rank/Grade], MATCH(ROWS($U$3:U414)-1, StatusBranchGrade[T2], 0)), "") &amp; ""</f>
        <v/>
      </c>
      <c r="W414" s="63"/>
    </row>
    <row r="415" spans="1:23" x14ac:dyDescent="0.25">
      <c r="A415">
        <v>6</v>
      </c>
      <c r="B415" t="s">
        <v>390</v>
      </c>
      <c r="C415" t="s">
        <v>181</v>
      </c>
      <c r="D415" t="s">
        <v>94</v>
      </c>
      <c r="E415" t="str">
        <f>IF(StatusBranchGrade[[#This Row],[Status]] = "CYS", "DoD", StatusBranchGrade[[#This Row],[Rank]] &amp; "")</f>
        <v>W-3</v>
      </c>
      <c r="F415" t="s">
        <v>94</v>
      </c>
      <c r="G415" t="str">
        <f>IF(StatusBranchGrade[[#This Row],[Rank]] = StatusBranchGrade[[#This Row],[Grade]], StatusBranchGrade[[#This Row],[Rank]], StatusBranchGrade[[#This Row],[Grade]] &amp; "/" &amp; StatusBranchGrade[[#This Row],[Rank]]) &amp; ""</f>
        <v>W-3</v>
      </c>
      <c r="H4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W-3</v>
      </c>
      <c r="I415" s="17" t="str">
        <f>SUBSTITUTE(SUBSTITUTE(SUBSTITUTE(StatusBranchGrade[[#This Row],[Status]] &amp; "  /  " &amp; StatusBranchGrade[[#This Row],[Branch]] &amp; ";", "  /  ;", ";"), "  /  ;", ";"), ";", "")</f>
        <v>Full-time Nat'l Guard  /  Marines</v>
      </c>
      <c r="J415">
        <v>12</v>
      </c>
      <c r="K415" s="17" t="str">
        <f>IF(LEFT(StatusBranchGrade[[#This Row],[Which]], 1) = "1", StatusBranchGrade[[#This Row],[Key]], "")</f>
        <v>Full-time Nat'l Guard  /  Marines  /  W-3</v>
      </c>
      <c r="L415" s="17" t="str">
        <f>IF(LEFT(StatusBranchGrade[[#This Row],[Which]], 1) = "1", StatusBranchGrade[[#This Row],[Key0]], "")</f>
        <v>Full-time Nat'l Guard  /  Marines</v>
      </c>
      <c r="M415" s="17" t="str">
        <f>IF(RIGHT(StatusBranchGrade[[#This Row],[Which]], 1) = "2", StatusBranchGrade[[#This Row],[Key]], "")</f>
        <v>Full-time Nat'l Guard  /  Marines  /  W-3</v>
      </c>
      <c r="N415" s="17" t="str">
        <f>IF(RIGHT(StatusBranchGrade[[#This Row],[Which]], 1) = "2", StatusBranchGrade[[#This Row],[Key0]], "")</f>
        <v>Full-time Nat'l Guard  /  Marines</v>
      </c>
      <c r="O415" s="17" t="s">
        <v>301</v>
      </c>
      <c r="P415" s="17"/>
      <c r="Q415" s="63">
        <f>--ISNUMBER(IF(StatusBranchGrade[[#This Row],[Sponsor0]] = 'Calculation Worksheet'!$AV$6 &amp; "  /  " &amp; 'Calculation Worksheet'!$AV$7, 1, ""))</f>
        <v>0</v>
      </c>
      <c r="R415" s="63" t="str">
        <f>IF(StatusBranchGrade[[#This Row],[S1]] = 1, COUNTIF($Q$3:Q415, 1), "")</f>
        <v/>
      </c>
      <c r="S415" s="63" t="str">
        <f>IFERROR(INDEX(StatusBranchGrade[Rank/Grade], MATCH(ROWS($R$3:R415)-1, StatusBranchGrade[S2], 0)), "") &amp; ""</f>
        <v/>
      </c>
      <c r="T415" s="63">
        <f>--ISNUMBER(IF(StatusBranchGrade[[#This Row],[Spouse0]] = 'Calculation Worksheet'!$CG$6 &amp; "  /  " &amp; 'Calculation Worksheet'!$CG$7, 1, ""))</f>
        <v>0</v>
      </c>
      <c r="U415" s="63" t="str">
        <f>IF(StatusBranchGrade[[#This Row],[T1]] = 1, COUNTIF($T$3:T415, 1), "")</f>
        <v/>
      </c>
      <c r="V415" s="63" t="str">
        <f>IFERROR(INDEX(StatusBranchGrade[Rank/Grade], MATCH(ROWS($U$3:U415)-1, StatusBranchGrade[T2], 0)), "") &amp; ""</f>
        <v/>
      </c>
      <c r="W415" s="63"/>
    </row>
    <row r="416" spans="1:23" x14ac:dyDescent="0.25">
      <c r="A416">
        <v>6</v>
      </c>
      <c r="B416" t="s">
        <v>390</v>
      </c>
      <c r="C416" t="s">
        <v>181</v>
      </c>
      <c r="D416" t="s">
        <v>93</v>
      </c>
      <c r="E416" t="str">
        <f>IF(StatusBranchGrade[[#This Row],[Status]] = "CYS", "DoD", StatusBranchGrade[[#This Row],[Rank]] &amp; "")</f>
        <v>W-4</v>
      </c>
      <c r="F416" t="s">
        <v>93</v>
      </c>
      <c r="G416" t="str">
        <f>IF(StatusBranchGrade[[#This Row],[Rank]] = StatusBranchGrade[[#This Row],[Grade]], StatusBranchGrade[[#This Row],[Rank]], StatusBranchGrade[[#This Row],[Grade]] &amp; "/" &amp; StatusBranchGrade[[#This Row],[Rank]]) &amp; ""</f>
        <v>W-4</v>
      </c>
      <c r="H4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W-4</v>
      </c>
      <c r="I416" s="17" t="str">
        <f>SUBSTITUTE(SUBSTITUTE(SUBSTITUTE(StatusBranchGrade[[#This Row],[Status]] &amp; "  /  " &amp; StatusBranchGrade[[#This Row],[Branch]] &amp; ";", "  /  ;", ";"), "  /  ;", ";"), ";", "")</f>
        <v>Full-time Nat'l Guard  /  Marines</v>
      </c>
      <c r="J416">
        <v>12</v>
      </c>
      <c r="K416" s="17" t="str">
        <f>IF(LEFT(StatusBranchGrade[[#This Row],[Which]], 1) = "1", StatusBranchGrade[[#This Row],[Key]], "")</f>
        <v>Full-time Nat'l Guard  /  Marines  /  W-4</v>
      </c>
      <c r="L416" s="17" t="str">
        <f>IF(LEFT(StatusBranchGrade[[#This Row],[Which]], 1) = "1", StatusBranchGrade[[#This Row],[Key0]], "")</f>
        <v>Full-time Nat'l Guard  /  Marines</v>
      </c>
      <c r="M416" s="17" t="str">
        <f>IF(RIGHT(StatusBranchGrade[[#This Row],[Which]], 1) = "2", StatusBranchGrade[[#This Row],[Key]], "")</f>
        <v>Full-time Nat'l Guard  /  Marines  /  W-4</v>
      </c>
      <c r="N416" s="17" t="str">
        <f>IF(RIGHT(StatusBranchGrade[[#This Row],[Which]], 1) = "2", StatusBranchGrade[[#This Row],[Key0]], "")</f>
        <v>Full-time Nat'l Guard  /  Marines</v>
      </c>
      <c r="O416" s="17" t="s">
        <v>301</v>
      </c>
      <c r="P416" s="17"/>
      <c r="Q416" s="63">
        <f>--ISNUMBER(IF(StatusBranchGrade[[#This Row],[Sponsor0]] = 'Calculation Worksheet'!$AV$6 &amp; "  /  " &amp; 'Calculation Worksheet'!$AV$7, 1, ""))</f>
        <v>0</v>
      </c>
      <c r="R416" s="63" t="str">
        <f>IF(StatusBranchGrade[[#This Row],[S1]] = 1, COUNTIF($Q$3:Q416, 1), "")</f>
        <v/>
      </c>
      <c r="S416" s="63" t="str">
        <f>IFERROR(INDEX(StatusBranchGrade[Rank/Grade], MATCH(ROWS($R$3:R416)-1, StatusBranchGrade[S2], 0)), "") &amp; ""</f>
        <v/>
      </c>
      <c r="T416" s="63">
        <f>--ISNUMBER(IF(StatusBranchGrade[[#This Row],[Spouse0]] = 'Calculation Worksheet'!$CG$6 &amp; "  /  " &amp; 'Calculation Worksheet'!$CG$7, 1, ""))</f>
        <v>0</v>
      </c>
      <c r="U416" s="63" t="str">
        <f>IF(StatusBranchGrade[[#This Row],[T1]] = 1, COUNTIF($T$3:T416, 1), "")</f>
        <v/>
      </c>
      <c r="V416" s="63" t="str">
        <f>IFERROR(INDEX(StatusBranchGrade[Rank/Grade], MATCH(ROWS($U$3:U416)-1, StatusBranchGrade[T2], 0)), "") &amp; ""</f>
        <v/>
      </c>
      <c r="W416" s="63"/>
    </row>
    <row r="417" spans="1:23" x14ac:dyDescent="0.25">
      <c r="A417">
        <v>6</v>
      </c>
      <c r="B417" t="s">
        <v>390</v>
      </c>
      <c r="C417" t="s">
        <v>181</v>
      </c>
      <c r="D417" t="s">
        <v>96</v>
      </c>
      <c r="E417" t="str">
        <f>IF(StatusBranchGrade[[#This Row],[Status]] = "CYS", "DoD", StatusBranchGrade[[#This Row],[Rank]] &amp; "")</f>
        <v>W-1</v>
      </c>
      <c r="F417" t="s">
        <v>179</v>
      </c>
      <c r="G417" t="str">
        <f>IF(StatusBranchGrade[[#This Row],[Rank]] = StatusBranchGrade[[#This Row],[Grade]], StatusBranchGrade[[#This Row],[Rank]], StatusBranchGrade[[#This Row],[Grade]] &amp; "/" &amp; StatusBranchGrade[[#This Row],[Rank]]) &amp; ""</f>
        <v>WO1/W-1</v>
      </c>
      <c r="H4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Marines  /  WO1/W-1</v>
      </c>
      <c r="I417" s="17" t="str">
        <f>SUBSTITUTE(SUBSTITUTE(SUBSTITUTE(StatusBranchGrade[[#This Row],[Status]] &amp; "  /  " &amp; StatusBranchGrade[[#This Row],[Branch]] &amp; ";", "  /  ;", ";"), "  /  ;", ";"), ";", "")</f>
        <v>Full-time Nat'l Guard  /  Marines</v>
      </c>
      <c r="J417">
        <v>12</v>
      </c>
      <c r="K417" s="17" t="str">
        <f>IF(LEFT(StatusBranchGrade[[#This Row],[Which]], 1) = "1", StatusBranchGrade[[#This Row],[Key]], "")</f>
        <v>Full-time Nat'l Guard  /  Marines  /  WO1/W-1</v>
      </c>
      <c r="L417" s="17" t="str">
        <f>IF(LEFT(StatusBranchGrade[[#This Row],[Which]], 1) = "1", StatusBranchGrade[[#This Row],[Key0]], "")</f>
        <v>Full-time Nat'l Guard  /  Marines</v>
      </c>
      <c r="M417" s="17" t="str">
        <f>IF(RIGHT(StatusBranchGrade[[#This Row],[Which]], 1) = "2", StatusBranchGrade[[#This Row],[Key]], "")</f>
        <v>Full-time Nat'l Guard  /  Marines  /  WO1/W-1</v>
      </c>
      <c r="N417" s="17" t="str">
        <f>IF(RIGHT(StatusBranchGrade[[#This Row],[Which]], 1) = "2", StatusBranchGrade[[#This Row],[Key0]], "")</f>
        <v>Full-time Nat'l Guard  /  Marines</v>
      </c>
      <c r="O417" s="17" t="s">
        <v>301</v>
      </c>
      <c r="P417" s="17"/>
      <c r="Q417" s="63">
        <f>--ISNUMBER(IF(StatusBranchGrade[[#This Row],[Sponsor0]] = 'Calculation Worksheet'!$AV$6 &amp; "  /  " &amp; 'Calculation Worksheet'!$AV$7, 1, ""))</f>
        <v>0</v>
      </c>
      <c r="R417" s="63" t="str">
        <f>IF(StatusBranchGrade[[#This Row],[S1]] = 1, COUNTIF($Q$3:Q417, 1), "")</f>
        <v/>
      </c>
      <c r="S417" s="63" t="str">
        <f>IFERROR(INDEX(StatusBranchGrade[Rank/Grade], MATCH(ROWS($R$3:R417)-1, StatusBranchGrade[S2], 0)), "") &amp; ""</f>
        <v/>
      </c>
      <c r="T417" s="63">
        <f>--ISNUMBER(IF(StatusBranchGrade[[#This Row],[Spouse0]] = 'Calculation Worksheet'!$CG$6 &amp; "  /  " &amp; 'Calculation Worksheet'!$CG$7, 1, ""))</f>
        <v>0</v>
      </c>
      <c r="U417" s="63" t="str">
        <f>IF(StatusBranchGrade[[#This Row],[T1]] = 1, COUNTIF($T$3:T417, 1), "")</f>
        <v/>
      </c>
      <c r="V417" s="63" t="str">
        <f>IFERROR(INDEX(StatusBranchGrade[Rank/Grade], MATCH(ROWS($U$3:U417)-1, StatusBranchGrade[T2], 0)), "") &amp; ""</f>
        <v/>
      </c>
      <c r="W417" s="63"/>
    </row>
    <row r="418" spans="1:23" x14ac:dyDescent="0.25">
      <c r="A418">
        <v>6</v>
      </c>
      <c r="B418" t="s">
        <v>390</v>
      </c>
      <c r="C418" t="s">
        <v>182</v>
      </c>
      <c r="D418" t="s">
        <v>105</v>
      </c>
      <c r="E418" t="str">
        <f>IF(StatusBranchGrade[[#This Row],[Status]] = "CYS", "DoD", StatusBranchGrade[[#This Row],[Rank]] &amp; "")</f>
        <v>E-1</v>
      </c>
      <c r="F418" t="s">
        <v>105</v>
      </c>
      <c r="G418" t="str">
        <f>IF(StatusBranchGrade[[#This Row],[Rank]] = StatusBranchGrade[[#This Row],[Grade]], StatusBranchGrade[[#This Row],[Rank]], StatusBranchGrade[[#This Row],[Grade]] &amp; "/" &amp; StatusBranchGrade[[#This Row],[Rank]]) &amp; ""</f>
        <v>E-1</v>
      </c>
      <c r="H4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E-1</v>
      </c>
      <c r="I418" s="17" t="str">
        <f>SUBSTITUTE(SUBSTITUTE(SUBSTITUTE(StatusBranchGrade[[#This Row],[Status]] &amp; "  /  " &amp; StatusBranchGrade[[#This Row],[Branch]] &amp; ";", "  /  ;", ";"), "  /  ;", ";"), ";", "")</f>
        <v>Full-time Nat'l Guard  /  Navy</v>
      </c>
      <c r="J418">
        <v>12</v>
      </c>
      <c r="K418" s="17" t="str">
        <f>IF(LEFT(StatusBranchGrade[[#This Row],[Which]], 1) = "1", StatusBranchGrade[[#This Row],[Key]], "")</f>
        <v>Full-time Nat'l Guard  /  Navy  /  E-1</v>
      </c>
      <c r="L418" s="17" t="str">
        <f>IF(LEFT(StatusBranchGrade[[#This Row],[Which]], 1) = "1", StatusBranchGrade[[#This Row],[Key0]], "")</f>
        <v>Full-time Nat'l Guard  /  Navy</v>
      </c>
      <c r="M418" s="17" t="str">
        <f>IF(RIGHT(StatusBranchGrade[[#This Row],[Which]], 1) = "2", StatusBranchGrade[[#This Row],[Key]], "")</f>
        <v>Full-time Nat'l Guard  /  Navy  /  E-1</v>
      </c>
      <c r="N418" s="17" t="str">
        <f>IF(RIGHT(StatusBranchGrade[[#This Row],[Which]], 1) = "2", StatusBranchGrade[[#This Row],[Key0]], "")</f>
        <v>Full-time Nat'l Guard  /  Navy</v>
      </c>
      <c r="O418" s="17" t="s">
        <v>301</v>
      </c>
      <c r="P418" s="17"/>
      <c r="Q418" s="63">
        <f>--ISNUMBER(IF(StatusBranchGrade[[#This Row],[Sponsor0]] = 'Calculation Worksheet'!$AV$6 &amp; "  /  " &amp; 'Calculation Worksheet'!$AV$7, 1, ""))</f>
        <v>0</v>
      </c>
      <c r="R418" s="63" t="str">
        <f>IF(StatusBranchGrade[[#This Row],[S1]] = 1, COUNTIF($Q$3:Q418, 1), "")</f>
        <v/>
      </c>
      <c r="S418" s="63" t="str">
        <f>IFERROR(INDEX(StatusBranchGrade[Rank/Grade], MATCH(ROWS($R$3:R418)-1, StatusBranchGrade[S2], 0)), "") &amp; ""</f>
        <v/>
      </c>
      <c r="T418" s="63">
        <f>--ISNUMBER(IF(StatusBranchGrade[[#This Row],[Spouse0]] = 'Calculation Worksheet'!$CG$6 &amp; "  /  " &amp; 'Calculation Worksheet'!$CG$7, 1, ""))</f>
        <v>0</v>
      </c>
      <c r="U418" s="63" t="str">
        <f>IF(StatusBranchGrade[[#This Row],[T1]] = 1, COUNTIF($T$3:T418, 1), "")</f>
        <v/>
      </c>
      <c r="V418" s="63" t="str">
        <f>IFERROR(INDEX(StatusBranchGrade[Rank/Grade], MATCH(ROWS($U$3:U418)-1, StatusBranchGrade[T2], 0)), "") &amp; ""</f>
        <v/>
      </c>
      <c r="W418" s="63"/>
    </row>
    <row r="419" spans="1:23" x14ac:dyDescent="0.25">
      <c r="A419">
        <v>6</v>
      </c>
      <c r="B419" t="s">
        <v>390</v>
      </c>
      <c r="C419" t="s">
        <v>182</v>
      </c>
      <c r="D419" t="s">
        <v>104</v>
      </c>
      <c r="E419" t="str">
        <f>IF(StatusBranchGrade[[#This Row],[Status]] = "CYS", "DoD", StatusBranchGrade[[#This Row],[Rank]] &amp; "")</f>
        <v>E-2</v>
      </c>
      <c r="F419" t="s">
        <v>104</v>
      </c>
      <c r="G419" t="str">
        <f>IF(StatusBranchGrade[[#This Row],[Rank]] = StatusBranchGrade[[#This Row],[Grade]], StatusBranchGrade[[#This Row],[Rank]], StatusBranchGrade[[#This Row],[Grade]] &amp; "/" &amp; StatusBranchGrade[[#This Row],[Rank]]) &amp; ""</f>
        <v>E-2</v>
      </c>
      <c r="H4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E-2</v>
      </c>
      <c r="I419" s="17" t="str">
        <f>SUBSTITUTE(SUBSTITUTE(SUBSTITUTE(StatusBranchGrade[[#This Row],[Status]] &amp; "  /  " &amp; StatusBranchGrade[[#This Row],[Branch]] &amp; ";", "  /  ;", ";"), "  /  ;", ";"), ";", "")</f>
        <v>Full-time Nat'l Guard  /  Navy</v>
      </c>
      <c r="J419">
        <v>12</v>
      </c>
      <c r="K419" s="17" t="str">
        <f>IF(LEFT(StatusBranchGrade[[#This Row],[Which]], 1) = "1", StatusBranchGrade[[#This Row],[Key]], "")</f>
        <v>Full-time Nat'l Guard  /  Navy  /  E-2</v>
      </c>
      <c r="L419" s="17" t="str">
        <f>IF(LEFT(StatusBranchGrade[[#This Row],[Which]], 1) = "1", StatusBranchGrade[[#This Row],[Key0]], "")</f>
        <v>Full-time Nat'l Guard  /  Navy</v>
      </c>
      <c r="M419" s="17" t="str">
        <f>IF(RIGHT(StatusBranchGrade[[#This Row],[Which]], 1) = "2", StatusBranchGrade[[#This Row],[Key]], "")</f>
        <v>Full-time Nat'l Guard  /  Navy  /  E-2</v>
      </c>
      <c r="N419" s="17" t="str">
        <f>IF(RIGHT(StatusBranchGrade[[#This Row],[Which]], 1) = "2", StatusBranchGrade[[#This Row],[Key0]], "")</f>
        <v>Full-time Nat'l Guard  /  Navy</v>
      </c>
      <c r="O419" s="17" t="s">
        <v>301</v>
      </c>
      <c r="P419" s="17"/>
      <c r="Q419" s="63">
        <f>--ISNUMBER(IF(StatusBranchGrade[[#This Row],[Sponsor0]] = 'Calculation Worksheet'!$AV$6 &amp; "  /  " &amp; 'Calculation Worksheet'!$AV$7, 1, ""))</f>
        <v>0</v>
      </c>
      <c r="R419" s="63" t="str">
        <f>IF(StatusBranchGrade[[#This Row],[S1]] = 1, COUNTIF($Q$3:Q419, 1), "")</f>
        <v/>
      </c>
      <c r="S419" s="63" t="str">
        <f>IFERROR(INDEX(StatusBranchGrade[Rank/Grade], MATCH(ROWS($R$3:R419)-1, StatusBranchGrade[S2], 0)), "") &amp; ""</f>
        <v/>
      </c>
      <c r="T419" s="63">
        <f>--ISNUMBER(IF(StatusBranchGrade[[#This Row],[Spouse0]] = 'Calculation Worksheet'!$CG$6 &amp; "  /  " &amp; 'Calculation Worksheet'!$CG$7, 1, ""))</f>
        <v>0</v>
      </c>
      <c r="U419" s="63" t="str">
        <f>IF(StatusBranchGrade[[#This Row],[T1]] = 1, COUNTIF($T$3:T419, 1), "")</f>
        <v/>
      </c>
      <c r="V419" s="63" t="str">
        <f>IFERROR(INDEX(StatusBranchGrade[Rank/Grade], MATCH(ROWS($U$3:U419)-1, StatusBranchGrade[T2], 0)), "") &amp; ""</f>
        <v/>
      </c>
      <c r="W419" s="63"/>
    </row>
    <row r="420" spans="1:23" x14ac:dyDescent="0.25">
      <c r="A420">
        <v>6</v>
      </c>
      <c r="B420" t="s">
        <v>390</v>
      </c>
      <c r="C420" t="s">
        <v>182</v>
      </c>
      <c r="D420" t="s">
        <v>103</v>
      </c>
      <c r="E420" t="str">
        <f>IF(StatusBranchGrade[[#This Row],[Status]] = "CYS", "DoD", StatusBranchGrade[[#This Row],[Rank]] &amp; "")</f>
        <v>E-3</v>
      </c>
      <c r="F420" t="s">
        <v>103</v>
      </c>
      <c r="G420" t="str">
        <f>IF(StatusBranchGrade[[#This Row],[Rank]] = StatusBranchGrade[[#This Row],[Grade]], StatusBranchGrade[[#This Row],[Rank]], StatusBranchGrade[[#This Row],[Grade]] &amp; "/" &amp; StatusBranchGrade[[#This Row],[Rank]]) &amp; ""</f>
        <v>E-3</v>
      </c>
      <c r="H4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E-3</v>
      </c>
      <c r="I420" s="17" t="str">
        <f>SUBSTITUTE(SUBSTITUTE(SUBSTITUTE(StatusBranchGrade[[#This Row],[Status]] &amp; "  /  " &amp; StatusBranchGrade[[#This Row],[Branch]] &amp; ";", "  /  ;", ";"), "  /  ;", ";"), ";", "")</f>
        <v>Full-time Nat'l Guard  /  Navy</v>
      </c>
      <c r="J420">
        <v>12</v>
      </c>
      <c r="K420" s="17" t="str">
        <f>IF(LEFT(StatusBranchGrade[[#This Row],[Which]], 1) = "1", StatusBranchGrade[[#This Row],[Key]], "")</f>
        <v>Full-time Nat'l Guard  /  Navy  /  E-3</v>
      </c>
      <c r="L420" s="17" t="str">
        <f>IF(LEFT(StatusBranchGrade[[#This Row],[Which]], 1) = "1", StatusBranchGrade[[#This Row],[Key0]], "")</f>
        <v>Full-time Nat'l Guard  /  Navy</v>
      </c>
      <c r="M420" s="17" t="str">
        <f>IF(RIGHT(StatusBranchGrade[[#This Row],[Which]], 1) = "2", StatusBranchGrade[[#This Row],[Key]], "")</f>
        <v>Full-time Nat'l Guard  /  Navy  /  E-3</v>
      </c>
      <c r="N420" s="17" t="str">
        <f>IF(RIGHT(StatusBranchGrade[[#This Row],[Which]], 1) = "2", StatusBranchGrade[[#This Row],[Key0]], "")</f>
        <v>Full-time Nat'l Guard  /  Navy</v>
      </c>
      <c r="O420" s="17" t="s">
        <v>301</v>
      </c>
      <c r="P420" s="17"/>
      <c r="Q420" s="63">
        <f>--ISNUMBER(IF(StatusBranchGrade[[#This Row],[Sponsor0]] = 'Calculation Worksheet'!$AV$6 &amp; "  /  " &amp; 'Calculation Worksheet'!$AV$7, 1, ""))</f>
        <v>0</v>
      </c>
      <c r="R420" s="63" t="str">
        <f>IF(StatusBranchGrade[[#This Row],[S1]] = 1, COUNTIF($Q$3:Q420, 1), "")</f>
        <v/>
      </c>
      <c r="S420" s="63" t="str">
        <f>IFERROR(INDEX(StatusBranchGrade[Rank/Grade], MATCH(ROWS($R$3:R420)-1, StatusBranchGrade[S2], 0)), "") &amp; ""</f>
        <v/>
      </c>
      <c r="T420" s="63">
        <f>--ISNUMBER(IF(StatusBranchGrade[[#This Row],[Spouse0]] = 'Calculation Worksheet'!$CG$6 &amp; "  /  " &amp; 'Calculation Worksheet'!$CG$7, 1, ""))</f>
        <v>0</v>
      </c>
      <c r="U420" s="63" t="str">
        <f>IF(StatusBranchGrade[[#This Row],[T1]] = 1, COUNTIF($T$3:T420, 1), "")</f>
        <v/>
      </c>
      <c r="V420" s="63" t="str">
        <f>IFERROR(INDEX(StatusBranchGrade[Rank/Grade], MATCH(ROWS($U$3:U420)-1, StatusBranchGrade[T2], 0)), "") &amp; ""</f>
        <v/>
      </c>
      <c r="W420" s="63"/>
    </row>
    <row r="421" spans="1:23" x14ac:dyDescent="0.25">
      <c r="A421">
        <v>6</v>
      </c>
      <c r="B421" t="s">
        <v>390</v>
      </c>
      <c r="C421" t="s">
        <v>182</v>
      </c>
      <c r="D421" t="s">
        <v>102</v>
      </c>
      <c r="E421" t="str">
        <f>IF(StatusBranchGrade[[#This Row],[Status]] = "CYS", "DoD", StatusBranchGrade[[#This Row],[Rank]] &amp; "")</f>
        <v>E-4</v>
      </c>
      <c r="F421" t="s">
        <v>102</v>
      </c>
      <c r="G421" t="str">
        <f>IF(StatusBranchGrade[[#This Row],[Rank]] = StatusBranchGrade[[#This Row],[Grade]], StatusBranchGrade[[#This Row],[Rank]], StatusBranchGrade[[#This Row],[Grade]] &amp; "/" &amp; StatusBranchGrade[[#This Row],[Rank]]) &amp; ""</f>
        <v>E-4</v>
      </c>
      <c r="H4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E-4</v>
      </c>
      <c r="I421" s="17" t="str">
        <f>SUBSTITUTE(SUBSTITUTE(SUBSTITUTE(StatusBranchGrade[[#This Row],[Status]] &amp; "  /  " &amp; StatusBranchGrade[[#This Row],[Branch]] &amp; ";", "  /  ;", ";"), "  /  ;", ";"), ";", "")</f>
        <v>Full-time Nat'l Guard  /  Navy</v>
      </c>
      <c r="J421">
        <v>12</v>
      </c>
      <c r="K421" s="17" t="str">
        <f>IF(LEFT(StatusBranchGrade[[#This Row],[Which]], 1) = "1", StatusBranchGrade[[#This Row],[Key]], "")</f>
        <v>Full-time Nat'l Guard  /  Navy  /  E-4</v>
      </c>
      <c r="L421" s="17" t="str">
        <f>IF(LEFT(StatusBranchGrade[[#This Row],[Which]], 1) = "1", StatusBranchGrade[[#This Row],[Key0]], "")</f>
        <v>Full-time Nat'l Guard  /  Navy</v>
      </c>
      <c r="M421" s="17" t="str">
        <f>IF(RIGHT(StatusBranchGrade[[#This Row],[Which]], 1) = "2", StatusBranchGrade[[#This Row],[Key]], "")</f>
        <v>Full-time Nat'l Guard  /  Navy  /  E-4</v>
      </c>
      <c r="N421" s="17" t="str">
        <f>IF(RIGHT(StatusBranchGrade[[#This Row],[Which]], 1) = "2", StatusBranchGrade[[#This Row],[Key0]], "")</f>
        <v>Full-time Nat'l Guard  /  Navy</v>
      </c>
      <c r="O421" s="17" t="s">
        <v>301</v>
      </c>
      <c r="P421" s="17"/>
      <c r="Q421" s="63">
        <f>--ISNUMBER(IF(StatusBranchGrade[[#This Row],[Sponsor0]] = 'Calculation Worksheet'!$AV$6 &amp; "  /  " &amp; 'Calculation Worksheet'!$AV$7, 1, ""))</f>
        <v>0</v>
      </c>
      <c r="R421" s="63" t="str">
        <f>IF(StatusBranchGrade[[#This Row],[S1]] = 1, COUNTIF($Q$3:Q421, 1), "")</f>
        <v/>
      </c>
      <c r="S421" s="63" t="str">
        <f>IFERROR(INDEX(StatusBranchGrade[Rank/Grade], MATCH(ROWS($R$3:R421)-1, StatusBranchGrade[S2], 0)), "") &amp; ""</f>
        <v/>
      </c>
      <c r="T421" s="63">
        <f>--ISNUMBER(IF(StatusBranchGrade[[#This Row],[Spouse0]] = 'Calculation Worksheet'!$CG$6 &amp; "  /  " &amp; 'Calculation Worksheet'!$CG$7, 1, ""))</f>
        <v>0</v>
      </c>
      <c r="U421" s="63" t="str">
        <f>IF(StatusBranchGrade[[#This Row],[T1]] = 1, COUNTIF($T$3:T421, 1), "")</f>
        <v/>
      </c>
      <c r="V421" s="63" t="str">
        <f>IFERROR(INDEX(StatusBranchGrade[Rank/Grade], MATCH(ROWS($U$3:U421)-1, StatusBranchGrade[T2], 0)), "") &amp; ""</f>
        <v/>
      </c>
      <c r="W421" s="63"/>
    </row>
    <row r="422" spans="1:23" x14ac:dyDescent="0.25">
      <c r="A422">
        <v>6</v>
      </c>
      <c r="B422" t="s">
        <v>390</v>
      </c>
      <c r="C422" t="s">
        <v>182</v>
      </c>
      <c r="D422" t="s">
        <v>101</v>
      </c>
      <c r="E422" t="str">
        <f>IF(StatusBranchGrade[[#This Row],[Status]] = "CYS", "DoD", StatusBranchGrade[[#This Row],[Rank]] &amp; "")</f>
        <v>E-5</v>
      </c>
      <c r="F422" t="s">
        <v>101</v>
      </c>
      <c r="G422" t="str">
        <f>IF(StatusBranchGrade[[#This Row],[Rank]] = StatusBranchGrade[[#This Row],[Grade]], StatusBranchGrade[[#This Row],[Rank]], StatusBranchGrade[[#This Row],[Grade]] &amp; "/" &amp; StatusBranchGrade[[#This Row],[Rank]]) &amp; ""</f>
        <v>E-5</v>
      </c>
      <c r="H4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E-5</v>
      </c>
      <c r="I422" s="17" t="str">
        <f>SUBSTITUTE(SUBSTITUTE(SUBSTITUTE(StatusBranchGrade[[#This Row],[Status]] &amp; "  /  " &amp; StatusBranchGrade[[#This Row],[Branch]] &amp; ";", "  /  ;", ";"), "  /  ;", ";"), ";", "")</f>
        <v>Full-time Nat'l Guard  /  Navy</v>
      </c>
      <c r="J422">
        <v>12</v>
      </c>
      <c r="K422" s="17" t="str">
        <f>IF(LEFT(StatusBranchGrade[[#This Row],[Which]], 1) = "1", StatusBranchGrade[[#This Row],[Key]], "")</f>
        <v>Full-time Nat'l Guard  /  Navy  /  E-5</v>
      </c>
      <c r="L422" s="17" t="str">
        <f>IF(LEFT(StatusBranchGrade[[#This Row],[Which]], 1) = "1", StatusBranchGrade[[#This Row],[Key0]], "")</f>
        <v>Full-time Nat'l Guard  /  Navy</v>
      </c>
      <c r="M422" s="17" t="str">
        <f>IF(RIGHT(StatusBranchGrade[[#This Row],[Which]], 1) = "2", StatusBranchGrade[[#This Row],[Key]], "")</f>
        <v>Full-time Nat'l Guard  /  Navy  /  E-5</v>
      </c>
      <c r="N422" s="17" t="str">
        <f>IF(RIGHT(StatusBranchGrade[[#This Row],[Which]], 1) = "2", StatusBranchGrade[[#This Row],[Key0]], "")</f>
        <v>Full-time Nat'l Guard  /  Navy</v>
      </c>
      <c r="O422" s="17" t="s">
        <v>301</v>
      </c>
      <c r="P422" s="17"/>
      <c r="Q422" s="63">
        <f>--ISNUMBER(IF(StatusBranchGrade[[#This Row],[Sponsor0]] = 'Calculation Worksheet'!$AV$6 &amp; "  /  " &amp; 'Calculation Worksheet'!$AV$7, 1, ""))</f>
        <v>0</v>
      </c>
      <c r="R422" s="63" t="str">
        <f>IF(StatusBranchGrade[[#This Row],[S1]] = 1, COUNTIF($Q$3:Q422, 1), "")</f>
        <v/>
      </c>
      <c r="S422" s="63" t="str">
        <f>IFERROR(INDEX(StatusBranchGrade[Rank/Grade], MATCH(ROWS($R$3:R422)-1, StatusBranchGrade[S2], 0)), "") &amp; ""</f>
        <v/>
      </c>
      <c r="T422" s="63">
        <f>--ISNUMBER(IF(StatusBranchGrade[[#This Row],[Spouse0]] = 'Calculation Worksheet'!$CG$6 &amp; "  /  " &amp; 'Calculation Worksheet'!$CG$7, 1, ""))</f>
        <v>0</v>
      </c>
      <c r="U422" s="63" t="str">
        <f>IF(StatusBranchGrade[[#This Row],[T1]] = 1, COUNTIF($T$3:T422, 1), "")</f>
        <v/>
      </c>
      <c r="V422" s="63" t="str">
        <f>IFERROR(INDEX(StatusBranchGrade[Rank/Grade], MATCH(ROWS($U$3:U422)-1, StatusBranchGrade[T2], 0)), "") &amp; ""</f>
        <v/>
      </c>
      <c r="W422" s="63"/>
    </row>
    <row r="423" spans="1:23" x14ac:dyDescent="0.25">
      <c r="A423">
        <v>6</v>
      </c>
      <c r="B423" t="s">
        <v>390</v>
      </c>
      <c r="C423" t="s">
        <v>182</v>
      </c>
      <c r="D423" t="s">
        <v>100</v>
      </c>
      <c r="E423" t="str">
        <f>IF(StatusBranchGrade[[#This Row],[Status]] = "CYS", "DoD", StatusBranchGrade[[#This Row],[Rank]] &amp; "")</f>
        <v>E-6</v>
      </c>
      <c r="F423" t="s">
        <v>100</v>
      </c>
      <c r="G423" t="str">
        <f>IF(StatusBranchGrade[[#This Row],[Rank]] = StatusBranchGrade[[#This Row],[Grade]], StatusBranchGrade[[#This Row],[Rank]], StatusBranchGrade[[#This Row],[Grade]] &amp; "/" &amp; StatusBranchGrade[[#This Row],[Rank]]) &amp; ""</f>
        <v>E-6</v>
      </c>
      <c r="H4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E-6</v>
      </c>
      <c r="I423" s="17" t="str">
        <f>SUBSTITUTE(SUBSTITUTE(SUBSTITUTE(StatusBranchGrade[[#This Row],[Status]] &amp; "  /  " &amp; StatusBranchGrade[[#This Row],[Branch]] &amp; ";", "  /  ;", ";"), "  /  ;", ";"), ";", "")</f>
        <v>Full-time Nat'l Guard  /  Navy</v>
      </c>
      <c r="J423">
        <v>12</v>
      </c>
      <c r="K423" s="17" t="str">
        <f>IF(LEFT(StatusBranchGrade[[#This Row],[Which]], 1) = "1", StatusBranchGrade[[#This Row],[Key]], "")</f>
        <v>Full-time Nat'l Guard  /  Navy  /  E-6</v>
      </c>
      <c r="L423" s="17" t="str">
        <f>IF(LEFT(StatusBranchGrade[[#This Row],[Which]], 1) = "1", StatusBranchGrade[[#This Row],[Key0]], "")</f>
        <v>Full-time Nat'l Guard  /  Navy</v>
      </c>
      <c r="M423" s="17" t="str">
        <f>IF(RIGHT(StatusBranchGrade[[#This Row],[Which]], 1) = "2", StatusBranchGrade[[#This Row],[Key]], "")</f>
        <v>Full-time Nat'l Guard  /  Navy  /  E-6</v>
      </c>
      <c r="N423" s="17" t="str">
        <f>IF(RIGHT(StatusBranchGrade[[#This Row],[Which]], 1) = "2", StatusBranchGrade[[#This Row],[Key0]], "")</f>
        <v>Full-time Nat'l Guard  /  Navy</v>
      </c>
      <c r="O423" s="17" t="s">
        <v>301</v>
      </c>
      <c r="P423" s="17"/>
      <c r="Q423" s="63">
        <f>--ISNUMBER(IF(StatusBranchGrade[[#This Row],[Sponsor0]] = 'Calculation Worksheet'!$AV$6 &amp; "  /  " &amp; 'Calculation Worksheet'!$AV$7, 1, ""))</f>
        <v>0</v>
      </c>
      <c r="R423" s="63" t="str">
        <f>IF(StatusBranchGrade[[#This Row],[S1]] = 1, COUNTIF($Q$3:Q423, 1), "")</f>
        <v/>
      </c>
      <c r="S423" s="63" t="str">
        <f>IFERROR(INDEX(StatusBranchGrade[Rank/Grade], MATCH(ROWS($R$3:R423)-1, StatusBranchGrade[S2], 0)), "") &amp; ""</f>
        <v/>
      </c>
      <c r="T423" s="63">
        <f>--ISNUMBER(IF(StatusBranchGrade[[#This Row],[Spouse0]] = 'Calculation Worksheet'!$CG$6 &amp; "  /  " &amp; 'Calculation Worksheet'!$CG$7, 1, ""))</f>
        <v>0</v>
      </c>
      <c r="U423" s="63" t="str">
        <f>IF(StatusBranchGrade[[#This Row],[T1]] = 1, COUNTIF($T$3:T423, 1), "")</f>
        <v/>
      </c>
      <c r="V423" s="63" t="str">
        <f>IFERROR(INDEX(StatusBranchGrade[Rank/Grade], MATCH(ROWS($U$3:U423)-1, StatusBranchGrade[T2], 0)), "") &amp; ""</f>
        <v/>
      </c>
      <c r="W423" s="63"/>
    </row>
    <row r="424" spans="1:23" x14ac:dyDescent="0.25">
      <c r="A424">
        <v>6</v>
      </c>
      <c r="B424" t="s">
        <v>390</v>
      </c>
      <c r="C424" t="s">
        <v>182</v>
      </c>
      <c r="D424" t="s">
        <v>99</v>
      </c>
      <c r="E424" t="str">
        <f>IF(StatusBranchGrade[[#This Row],[Status]] = "CYS", "DoD", StatusBranchGrade[[#This Row],[Rank]] &amp; "")</f>
        <v>E-7</v>
      </c>
      <c r="F424" t="s">
        <v>99</v>
      </c>
      <c r="G424" t="str">
        <f>IF(StatusBranchGrade[[#This Row],[Rank]] = StatusBranchGrade[[#This Row],[Grade]], StatusBranchGrade[[#This Row],[Rank]], StatusBranchGrade[[#This Row],[Grade]] &amp; "/" &amp; StatusBranchGrade[[#This Row],[Rank]]) &amp; ""</f>
        <v>E-7</v>
      </c>
      <c r="H4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E-7</v>
      </c>
      <c r="I424" s="17" t="str">
        <f>SUBSTITUTE(SUBSTITUTE(SUBSTITUTE(StatusBranchGrade[[#This Row],[Status]] &amp; "  /  " &amp; StatusBranchGrade[[#This Row],[Branch]] &amp; ";", "  /  ;", ";"), "  /  ;", ";"), ";", "")</f>
        <v>Full-time Nat'l Guard  /  Navy</v>
      </c>
      <c r="J424">
        <v>12</v>
      </c>
      <c r="K424" s="17" t="str">
        <f>IF(LEFT(StatusBranchGrade[[#This Row],[Which]], 1) = "1", StatusBranchGrade[[#This Row],[Key]], "")</f>
        <v>Full-time Nat'l Guard  /  Navy  /  E-7</v>
      </c>
      <c r="L424" s="17" t="str">
        <f>IF(LEFT(StatusBranchGrade[[#This Row],[Which]], 1) = "1", StatusBranchGrade[[#This Row],[Key0]], "")</f>
        <v>Full-time Nat'l Guard  /  Navy</v>
      </c>
      <c r="M424" s="17" t="str">
        <f>IF(RIGHT(StatusBranchGrade[[#This Row],[Which]], 1) = "2", StatusBranchGrade[[#This Row],[Key]], "")</f>
        <v>Full-time Nat'l Guard  /  Navy  /  E-7</v>
      </c>
      <c r="N424" s="17" t="str">
        <f>IF(RIGHT(StatusBranchGrade[[#This Row],[Which]], 1) = "2", StatusBranchGrade[[#This Row],[Key0]], "")</f>
        <v>Full-time Nat'l Guard  /  Navy</v>
      </c>
      <c r="O424" s="17" t="s">
        <v>301</v>
      </c>
      <c r="P424" s="17"/>
      <c r="Q424" s="63">
        <f>--ISNUMBER(IF(StatusBranchGrade[[#This Row],[Sponsor0]] = 'Calculation Worksheet'!$AV$6 &amp; "  /  " &amp; 'Calculation Worksheet'!$AV$7, 1, ""))</f>
        <v>0</v>
      </c>
      <c r="R424" s="63" t="str">
        <f>IF(StatusBranchGrade[[#This Row],[S1]] = 1, COUNTIF($Q$3:Q424, 1), "")</f>
        <v/>
      </c>
      <c r="S424" s="63" t="str">
        <f>IFERROR(INDEX(StatusBranchGrade[Rank/Grade], MATCH(ROWS($R$3:R424)-1, StatusBranchGrade[S2], 0)), "") &amp; ""</f>
        <v/>
      </c>
      <c r="T424" s="63">
        <f>--ISNUMBER(IF(StatusBranchGrade[[#This Row],[Spouse0]] = 'Calculation Worksheet'!$CG$6 &amp; "  /  " &amp; 'Calculation Worksheet'!$CG$7, 1, ""))</f>
        <v>0</v>
      </c>
      <c r="U424" s="63" t="str">
        <f>IF(StatusBranchGrade[[#This Row],[T1]] = 1, COUNTIF($T$3:T424, 1), "")</f>
        <v/>
      </c>
      <c r="V424" s="63" t="str">
        <f>IFERROR(INDEX(StatusBranchGrade[Rank/Grade], MATCH(ROWS($U$3:U424)-1, StatusBranchGrade[T2], 0)), "") &amp; ""</f>
        <v/>
      </c>
      <c r="W424" s="63"/>
    </row>
    <row r="425" spans="1:23" x14ac:dyDescent="0.25">
      <c r="A425">
        <v>6</v>
      </c>
      <c r="B425" t="s">
        <v>390</v>
      </c>
      <c r="C425" t="s">
        <v>182</v>
      </c>
      <c r="D425" t="s">
        <v>98</v>
      </c>
      <c r="E425" t="str">
        <f>IF(StatusBranchGrade[[#This Row],[Status]] = "CYS", "DoD", StatusBranchGrade[[#This Row],[Rank]] &amp; "")</f>
        <v>E-8</v>
      </c>
      <c r="F425" t="s">
        <v>98</v>
      </c>
      <c r="G425" t="str">
        <f>IF(StatusBranchGrade[[#This Row],[Rank]] = StatusBranchGrade[[#This Row],[Grade]], StatusBranchGrade[[#This Row],[Rank]], StatusBranchGrade[[#This Row],[Grade]] &amp; "/" &amp; StatusBranchGrade[[#This Row],[Rank]]) &amp; ""</f>
        <v>E-8</v>
      </c>
      <c r="H4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E-8</v>
      </c>
      <c r="I425" s="17" t="str">
        <f>SUBSTITUTE(SUBSTITUTE(SUBSTITUTE(StatusBranchGrade[[#This Row],[Status]] &amp; "  /  " &amp; StatusBranchGrade[[#This Row],[Branch]] &amp; ";", "  /  ;", ";"), "  /  ;", ";"), ";", "")</f>
        <v>Full-time Nat'l Guard  /  Navy</v>
      </c>
      <c r="J425">
        <v>12</v>
      </c>
      <c r="K425" s="17" t="str">
        <f>IF(LEFT(StatusBranchGrade[[#This Row],[Which]], 1) = "1", StatusBranchGrade[[#This Row],[Key]], "")</f>
        <v>Full-time Nat'l Guard  /  Navy  /  E-8</v>
      </c>
      <c r="L425" s="17" t="str">
        <f>IF(LEFT(StatusBranchGrade[[#This Row],[Which]], 1) = "1", StatusBranchGrade[[#This Row],[Key0]], "")</f>
        <v>Full-time Nat'l Guard  /  Navy</v>
      </c>
      <c r="M425" s="17" t="str">
        <f>IF(RIGHT(StatusBranchGrade[[#This Row],[Which]], 1) = "2", StatusBranchGrade[[#This Row],[Key]], "")</f>
        <v>Full-time Nat'l Guard  /  Navy  /  E-8</v>
      </c>
      <c r="N425" s="17" t="str">
        <f>IF(RIGHT(StatusBranchGrade[[#This Row],[Which]], 1) = "2", StatusBranchGrade[[#This Row],[Key0]], "")</f>
        <v>Full-time Nat'l Guard  /  Navy</v>
      </c>
      <c r="O425" s="17" t="s">
        <v>301</v>
      </c>
      <c r="P425" s="17"/>
      <c r="Q425" s="63">
        <f>--ISNUMBER(IF(StatusBranchGrade[[#This Row],[Sponsor0]] = 'Calculation Worksheet'!$AV$6 &amp; "  /  " &amp; 'Calculation Worksheet'!$AV$7, 1, ""))</f>
        <v>0</v>
      </c>
      <c r="R425" s="63" t="str">
        <f>IF(StatusBranchGrade[[#This Row],[S1]] = 1, COUNTIF($Q$3:Q425, 1), "")</f>
        <v/>
      </c>
      <c r="S425" s="63" t="str">
        <f>IFERROR(INDEX(StatusBranchGrade[Rank/Grade], MATCH(ROWS($R$3:R425)-1, StatusBranchGrade[S2], 0)), "") &amp; ""</f>
        <v/>
      </c>
      <c r="T425" s="63">
        <f>--ISNUMBER(IF(StatusBranchGrade[[#This Row],[Spouse0]] = 'Calculation Worksheet'!$CG$6 &amp; "  /  " &amp; 'Calculation Worksheet'!$CG$7, 1, ""))</f>
        <v>0</v>
      </c>
      <c r="U425" s="63" t="str">
        <f>IF(StatusBranchGrade[[#This Row],[T1]] = 1, COUNTIF($T$3:T425, 1), "")</f>
        <v/>
      </c>
      <c r="V425" s="63" t="str">
        <f>IFERROR(INDEX(StatusBranchGrade[Rank/Grade], MATCH(ROWS($U$3:U425)-1, StatusBranchGrade[T2], 0)), "") &amp; ""</f>
        <v/>
      </c>
      <c r="W425" s="63"/>
    </row>
    <row r="426" spans="1:23" x14ac:dyDescent="0.25">
      <c r="A426">
        <v>6</v>
      </c>
      <c r="B426" t="s">
        <v>390</v>
      </c>
      <c r="C426" t="s">
        <v>182</v>
      </c>
      <c r="D426" t="s">
        <v>97</v>
      </c>
      <c r="E426" t="str">
        <f>IF(StatusBranchGrade[[#This Row],[Status]] = "CYS", "DoD", StatusBranchGrade[[#This Row],[Rank]] &amp; "")</f>
        <v>E-9</v>
      </c>
      <c r="F426" t="s">
        <v>97</v>
      </c>
      <c r="G426" t="str">
        <f>IF(StatusBranchGrade[[#This Row],[Rank]] = StatusBranchGrade[[#This Row],[Grade]], StatusBranchGrade[[#This Row],[Rank]], StatusBranchGrade[[#This Row],[Grade]] &amp; "/" &amp; StatusBranchGrade[[#This Row],[Rank]]) &amp; ""</f>
        <v>E-9</v>
      </c>
      <c r="H4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E-9</v>
      </c>
      <c r="I426" s="17" t="str">
        <f>SUBSTITUTE(SUBSTITUTE(SUBSTITUTE(StatusBranchGrade[[#This Row],[Status]] &amp; "  /  " &amp; StatusBranchGrade[[#This Row],[Branch]] &amp; ";", "  /  ;", ";"), "  /  ;", ";"), ";", "")</f>
        <v>Full-time Nat'l Guard  /  Navy</v>
      </c>
      <c r="J426">
        <v>12</v>
      </c>
      <c r="K426" s="17" t="str">
        <f>IF(LEFT(StatusBranchGrade[[#This Row],[Which]], 1) = "1", StatusBranchGrade[[#This Row],[Key]], "")</f>
        <v>Full-time Nat'l Guard  /  Navy  /  E-9</v>
      </c>
      <c r="L426" s="17" t="str">
        <f>IF(LEFT(StatusBranchGrade[[#This Row],[Which]], 1) = "1", StatusBranchGrade[[#This Row],[Key0]], "")</f>
        <v>Full-time Nat'l Guard  /  Navy</v>
      </c>
      <c r="M426" s="17" t="str">
        <f>IF(RIGHT(StatusBranchGrade[[#This Row],[Which]], 1) = "2", StatusBranchGrade[[#This Row],[Key]], "")</f>
        <v>Full-time Nat'l Guard  /  Navy  /  E-9</v>
      </c>
      <c r="N426" s="17" t="str">
        <f>IF(RIGHT(StatusBranchGrade[[#This Row],[Which]], 1) = "2", StatusBranchGrade[[#This Row],[Key0]], "")</f>
        <v>Full-time Nat'l Guard  /  Navy</v>
      </c>
      <c r="O426" s="17" t="s">
        <v>301</v>
      </c>
      <c r="P426" s="17"/>
      <c r="Q426" s="63">
        <f>--ISNUMBER(IF(StatusBranchGrade[[#This Row],[Sponsor0]] = 'Calculation Worksheet'!$AV$6 &amp; "  /  " &amp; 'Calculation Worksheet'!$AV$7, 1, ""))</f>
        <v>0</v>
      </c>
      <c r="R426" s="63" t="str">
        <f>IF(StatusBranchGrade[[#This Row],[S1]] = 1, COUNTIF($Q$3:Q426, 1), "")</f>
        <v/>
      </c>
      <c r="S426" s="63" t="str">
        <f>IFERROR(INDEX(StatusBranchGrade[Rank/Grade], MATCH(ROWS($R$3:R426)-1, StatusBranchGrade[S2], 0)), "") &amp; ""</f>
        <v/>
      </c>
      <c r="T426" s="63">
        <f>--ISNUMBER(IF(StatusBranchGrade[[#This Row],[Spouse0]] = 'Calculation Worksheet'!$CG$6 &amp; "  /  " &amp; 'Calculation Worksheet'!$CG$7, 1, ""))</f>
        <v>0</v>
      </c>
      <c r="U426" s="63" t="str">
        <f>IF(StatusBranchGrade[[#This Row],[T1]] = 1, COUNTIF($T$3:T426, 1), "")</f>
        <v/>
      </c>
      <c r="V426" s="63" t="str">
        <f>IFERROR(INDEX(StatusBranchGrade[Rank/Grade], MATCH(ROWS($U$3:U426)-1, StatusBranchGrade[T2], 0)), "") &amp; ""</f>
        <v/>
      </c>
      <c r="W426" s="63"/>
    </row>
    <row r="427" spans="1:23" x14ac:dyDescent="0.25">
      <c r="A427">
        <v>6</v>
      </c>
      <c r="B427" t="s">
        <v>390</v>
      </c>
      <c r="C427" t="s">
        <v>182</v>
      </c>
      <c r="D427" t="s">
        <v>91</v>
      </c>
      <c r="E427" t="str">
        <f>IF(StatusBranchGrade[[#This Row],[Status]] = "CYS", "DoD", StatusBranchGrade[[#This Row],[Rank]] &amp; "")</f>
        <v>O-1</v>
      </c>
      <c r="F427" t="s">
        <v>91</v>
      </c>
      <c r="G427" t="str">
        <f>IF(StatusBranchGrade[[#This Row],[Rank]] = StatusBranchGrade[[#This Row],[Grade]], StatusBranchGrade[[#This Row],[Rank]], StatusBranchGrade[[#This Row],[Grade]] &amp; "/" &amp; StatusBranchGrade[[#This Row],[Rank]]) &amp; ""</f>
        <v>O-1</v>
      </c>
      <c r="H4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O-1</v>
      </c>
      <c r="I427" s="17" t="str">
        <f>SUBSTITUTE(SUBSTITUTE(SUBSTITUTE(StatusBranchGrade[[#This Row],[Status]] &amp; "  /  " &amp; StatusBranchGrade[[#This Row],[Branch]] &amp; ";", "  /  ;", ";"), "  /  ;", ";"), ";", "")</f>
        <v>Full-time Nat'l Guard  /  Navy</v>
      </c>
      <c r="J427">
        <v>12</v>
      </c>
      <c r="K427" s="17" t="str">
        <f>IF(LEFT(StatusBranchGrade[[#This Row],[Which]], 1) = "1", StatusBranchGrade[[#This Row],[Key]], "")</f>
        <v>Full-time Nat'l Guard  /  Navy  /  O-1</v>
      </c>
      <c r="L427" s="17" t="str">
        <f>IF(LEFT(StatusBranchGrade[[#This Row],[Which]], 1) = "1", StatusBranchGrade[[#This Row],[Key0]], "")</f>
        <v>Full-time Nat'l Guard  /  Navy</v>
      </c>
      <c r="M427" s="17" t="str">
        <f>IF(RIGHT(StatusBranchGrade[[#This Row],[Which]], 1) = "2", StatusBranchGrade[[#This Row],[Key]], "")</f>
        <v>Full-time Nat'l Guard  /  Navy  /  O-1</v>
      </c>
      <c r="N427" s="17" t="str">
        <f>IF(RIGHT(StatusBranchGrade[[#This Row],[Which]], 1) = "2", StatusBranchGrade[[#This Row],[Key0]], "")</f>
        <v>Full-time Nat'l Guard  /  Navy</v>
      </c>
      <c r="O427" s="17" t="s">
        <v>301</v>
      </c>
      <c r="P427" s="17"/>
      <c r="Q427" s="63">
        <f>--ISNUMBER(IF(StatusBranchGrade[[#This Row],[Sponsor0]] = 'Calculation Worksheet'!$AV$6 &amp; "  /  " &amp; 'Calculation Worksheet'!$AV$7, 1, ""))</f>
        <v>0</v>
      </c>
      <c r="R427" s="63" t="str">
        <f>IF(StatusBranchGrade[[#This Row],[S1]] = 1, COUNTIF($Q$3:Q427, 1), "")</f>
        <v/>
      </c>
      <c r="S427" s="63" t="str">
        <f>IFERROR(INDEX(StatusBranchGrade[Rank/Grade], MATCH(ROWS($R$3:R427)-1, StatusBranchGrade[S2], 0)), "") &amp; ""</f>
        <v/>
      </c>
      <c r="T427" s="63">
        <f>--ISNUMBER(IF(StatusBranchGrade[[#This Row],[Spouse0]] = 'Calculation Worksheet'!$CG$6 &amp; "  /  " &amp; 'Calculation Worksheet'!$CG$7, 1, ""))</f>
        <v>0</v>
      </c>
      <c r="U427" s="63" t="str">
        <f>IF(StatusBranchGrade[[#This Row],[T1]] = 1, COUNTIF($T$3:T427, 1), "")</f>
        <v/>
      </c>
      <c r="V427" s="63" t="str">
        <f>IFERROR(INDEX(StatusBranchGrade[Rank/Grade], MATCH(ROWS($U$3:U427)-1, StatusBranchGrade[T2], 0)), "") &amp; ""</f>
        <v/>
      </c>
      <c r="W427" s="63"/>
    </row>
    <row r="428" spans="1:23" x14ac:dyDescent="0.25">
      <c r="A428">
        <v>6</v>
      </c>
      <c r="B428" t="s">
        <v>390</v>
      </c>
      <c r="C428" t="s">
        <v>182</v>
      </c>
      <c r="D428" s="75" t="s">
        <v>10</v>
      </c>
      <c r="E428" s="75" t="str">
        <f>IF(StatusBranchGrade[[#This Row],[Status]] = "CYS", "DoD", StatusBranchGrade[[#This Row],[Rank]] &amp; "")</f>
        <v>O1E</v>
      </c>
      <c r="F428" s="75" t="s">
        <v>91</v>
      </c>
      <c r="G428" s="75" t="str">
        <f>IF(StatusBranchGrade[[#This Row],[Rank]] = StatusBranchGrade[[#This Row],[Grade]], StatusBranchGrade[[#This Row],[Rank]], StatusBranchGrade[[#This Row],[Grade]] &amp; "/" &amp; StatusBranchGrade[[#This Row],[Rank]]) &amp; ""</f>
        <v>O-1/O1E</v>
      </c>
      <c r="H4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O-1/O1E</v>
      </c>
      <c r="I428" s="17" t="str">
        <f>SUBSTITUTE(SUBSTITUTE(SUBSTITUTE(StatusBranchGrade[[#This Row],[Status]] &amp; "  /  " &amp; StatusBranchGrade[[#This Row],[Branch]] &amp; ";", "  /  ;", ";"), "  /  ;", ";"), ";", "")</f>
        <v>Full-time Nat'l Guard  /  Navy</v>
      </c>
      <c r="J428">
        <v>12</v>
      </c>
      <c r="K428" s="17" t="str">
        <f>IF(LEFT(StatusBranchGrade[[#This Row],[Which]], 1) = "1", StatusBranchGrade[[#This Row],[Key]], "")</f>
        <v>Full-time Nat'l Guard  /  Navy  /  O-1/O1E</v>
      </c>
      <c r="L428" s="17" t="str">
        <f>IF(LEFT(StatusBranchGrade[[#This Row],[Which]], 1) = "1", StatusBranchGrade[[#This Row],[Key0]], "")</f>
        <v>Full-time Nat'l Guard  /  Navy</v>
      </c>
      <c r="M428" s="17" t="str">
        <f>IF(RIGHT(StatusBranchGrade[[#This Row],[Which]], 1) = "2", StatusBranchGrade[[#This Row],[Key]], "")</f>
        <v>Full-time Nat'l Guard  /  Navy  /  O-1/O1E</v>
      </c>
      <c r="N428" s="17" t="str">
        <f>IF(RIGHT(StatusBranchGrade[[#This Row],[Which]], 1) = "2", StatusBranchGrade[[#This Row],[Key0]], "")</f>
        <v>Full-time Nat'l Guard  /  Navy</v>
      </c>
      <c r="O428" s="17" t="s">
        <v>301</v>
      </c>
      <c r="P428" s="17"/>
      <c r="Q428" s="63">
        <f>--ISNUMBER(IF(StatusBranchGrade[[#This Row],[Sponsor0]] = 'Calculation Worksheet'!$AV$6 &amp; "  /  " &amp; 'Calculation Worksheet'!$AV$7, 1, ""))</f>
        <v>0</v>
      </c>
      <c r="R428" s="63" t="str">
        <f>IF(StatusBranchGrade[[#This Row],[S1]] = 1, COUNTIF($Q$3:Q428, 1), "")</f>
        <v/>
      </c>
      <c r="S428" s="63" t="str">
        <f>IFERROR(INDEX(StatusBranchGrade[Rank/Grade], MATCH(ROWS($R$3:R428)-1, StatusBranchGrade[S2], 0)), "") &amp; ""</f>
        <v/>
      </c>
      <c r="T428" s="63">
        <f>--ISNUMBER(IF(StatusBranchGrade[[#This Row],[Spouse0]] = 'Calculation Worksheet'!$CG$6 &amp; "  /  " &amp; 'Calculation Worksheet'!$CG$7, 1, ""))</f>
        <v>0</v>
      </c>
      <c r="U428" s="63" t="str">
        <f>IF(StatusBranchGrade[[#This Row],[T1]] = 1, COUNTIF($T$3:T428, 1), "")</f>
        <v/>
      </c>
      <c r="V428" s="63" t="str">
        <f>IFERROR(INDEX(StatusBranchGrade[Rank/Grade], MATCH(ROWS($U$3:U428)-1, StatusBranchGrade[T2], 0)), "") &amp; ""</f>
        <v/>
      </c>
      <c r="W428" s="63"/>
    </row>
    <row r="429" spans="1:23" x14ac:dyDescent="0.25">
      <c r="A429">
        <v>6</v>
      </c>
      <c r="B429" t="s">
        <v>390</v>
      </c>
      <c r="C429" t="s">
        <v>182</v>
      </c>
      <c r="D429" t="s">
        <v>82</v>
      </c>
      <c r="E429" t="str">
        <f>IF(StatusBranchGrade[[#This Row],[Status]] = "CYS", "DoD", StatusBranchGrade[[#This Row],[Rank]] &amp; "")</f>
        <v>O-10</v>
      </c>
      <c r="F429" t="s">
        <v>82</v>
      </c>
      <c r="G429" t="str">
        <f>IF(StatusBranchGrade[[#This Row],[Rank]] = StatusBranchGrade[[#This Row],[Grade]], StatusBranchGrade[[#This Row],[Rank]], StatusBranchGrade[[#This Row],[Grade]] &amp; "/" &amp; StatusBranchGrade[[#This Row],[Rank]]) &amp; ""</f>
        <v>O-10</v>
      </c>
      <c r="H4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O-10</v>
      </c>
      <c r="I429" s="17" t="str">
        <f>SUBSTITUTE(SUBSTITUTE(SUBSTITUTE(StatusBranchGrade[[#This Row],[Status]] &amp; "  /  " &amp; StatusBranchGrade[[#This Row],[Branch]] &amp; ";", "  /  ;", ";"), "  /  ;", ";"), ";", "")</f>
        <v>Full-time Nat'l Guard  /  Navy</v>
      </c>
      <c r="J429">
        <v>12</v>
      </c>
      <c r="K429" s="17" t="str">
        <f>IF(LEFT(StatusBranchGrade[[#This Row],[Which]], 1) = "1", StatusBranchGrade[[#This Row],[Key]], "")</f>
        <v>Full-time Nat'l Guard  /  Navy  /  O-10</v>
      </c>
      <c r="L429" s="17" t="str">
        <f>IF(LEFT(StatusBranchGrade[[#This Row],[Which]], 1) = "1", StatusBranchGrade[[#This Row],[Key0]], "")</f>
        <v>Full-time Nat'l Guard  /  Navy</v>
      </c>
      <c r="M429" s="17" t="str">
        <f>IF(RIGHT(StatusBranchGrade[[#This Row],[Which]], 1) = "2", StatusBranchGrade[[#This Row],[Key]], "")</f>
        <v>Full-time Nat'l Guard  /  Navy  /  O-10</v>
      </c>
      <c r="N429" s="17" t="str">
        <f>IF(RIGHT(StatusBranchGrade[[#This Row],[Which]], 1) = "2", StatusBranchGrade[[#This Row],[Key0]], "")</f>
        <v>Full-time Nat'l Guard  /  Navy</v>
      </c>
      <c r="O429" s="17" t="s">
        <v>301</v>
      </c>
      <c r="P429" s="17"/>
      <c r="Q429" s="63">
        <f>--ISNUMBER(IF(StatusBranchGrade[[#This Row],[Sponsor0]] = 'Calculation Worksheet'!$AV$6 &amp; "  /  " &amp; 'Calculation Worksheet'!$AV$7, 1, ""))</f>
        <v>0</v>
      </c>
      <c r="R429" s="63" t="str">
        <f>IF(StatusBranchGrade[[#This Row],[S1]] = 1, COUNTIF($Q$3:Q429, 1), "")</f>
        <v/>
      </c>
      <c r="S429" s="63" t="str">
        <f>IFERROR(INDEX(StatusBranchGrade[Rank/Grade], MATCH(ROWS($R$3:R429)-1, StatusBranchGrade[S2], 0)), "") &amp; ""</f>
        <v/>
      </c>
      <c r="T429" s="63">
        <f>--ISNUMBER(IF(StatusBranchGrade[[#This Row],[Spouse0]] = 'Calculation Worksheet'!$CG$6 &amp; "  /  " &amp; 'Calculation Worksheet'!$CG$7, 1, ""))</f>
        <v>0</v>
      </c>
      <c r="U429" s="63" t="str">
        <f>IF(StatusBranchGrade[[#This Row],[T1]] = 1, COUNTIF($T$3:T429, 1), "")</f>
        <v/>
      </c>
      <c r="V429" s="63" t="str">
        <f>IFERROR(INDEX(StatusBranchGrade[Rank/Grade], MATCH(ROWS($U$3:U429)-1, StatusBranchGrade[T2], 0)), "") &amp; ""</f>
        <v/>
      </c>
      <c r="W429" s="63"/>
    </row>
    <row r="430" spans="1:23" x14ac:dyDescent="0.25">
      <c r="A430">
        <v>6</v>
      </c>
      <c r="B430" t="s">
        <v>390</v>
      </c>
      <c r="C430" t="s">
        <v>182</v>
      </c>
      <c r="D430" t="s">
        <v>90</v>
      </c>
      <c r="E430" t="str">
        <f>IF(StatusBranchGrade[[#This Row],[Status]] = "CYS", "DoD", StatusBranchGrade[[#This Row],[Rank]] &amp; "")</f>
        <v>O-2</v>
      </c>
      <c r="F430" t="s">
        <v>90</v>
      </c>
      <c r="G430" t="str">
        <f>IF(StatusBranchGrade[[#This Row],[Rank]] = StatusBranchGrade[[#This Row],[Grade]], StatusBranchGrade[[#This Row],[Rank]], StatusBranchGrade[[#This Row],[Grade]] &amp; "/" &amp; StatusBranchGrade[[#This Row],[Rank]]) &amp; ""</f>
        <v>O-2</v>
      </c>
      <c r="H4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O-2</v>
      </c>
      <c r="I430" s="17" t="str">
        <f>SUBSTITUTE(SUBSTITUTE(SUBSTITUTE(StatusBranchGrade[[#This Row],[Status]] &amp; "  /  " &amp; StatusBranchGrade[[#This Row],[Branch]] &amp; ";", "  /  ;", ";"), "  /  ;", ";"), ";", "")</f>
        <v>Full-time Nat'l Guard  /  Navy</v>
      </c>
      <c r="J430">
        <v>12</v>
      </c>
      <c r="K430" s="17" t="str">
        <f>IF(LEFT(StatusBranchGrade[[#This Row],[Which]], 1) = "1", StatusBranchGrade[[#This Row],[Key]], "")</f>
        <v>Full-time Nat'l Guard  /  Navy  /  O-2</v>
      </c>
      <c r="L430" s="17" t="str">
        <f>IF(LEFT(StatusBranchGrade[[#This Row],[Which]], 1) = "1", StatusBranchGrade[[#This Row],[Key0]], "")</f>
        <v>Full-time Nat'l Guard  /  Navy</v>
      </c>
      <c r="M430" s="17" t="str">
        <f>IF(RIGHT(StatusBranchGrade[[#This Row],[Which]], 1) = "2", StatusBranchGrade[[#This Row],[Key]], "")</f>
        <v>Full-time Nat'l Guard  /  Navy  /  O-2</v>
      </c>
      <c r="N430" s="17" t="str">
        <f>IF(RIGHT(StatusBranchGrade[[#This Row],[Which]], 1) = "2", StatusBranchGrade[[#This Row],[Key0]], "")</f>
        <v>Full-time Nat'l Guard  /  Navy</v>
      </c>
      <c r="O430" s="17" t="s">
        <v>301</v>
      </c>
      <c r="P430" s="17"/>
      <c r="Q430" s="63">
        <f>--ISNUMBER(IF(StatusBranchGrade[[#This Row],[Sponsor0]] = 'Calculation Worksheet'!$AV$6 &amp; "  /  " &amp; 'Calculation Worksheet'!$AV$7, 1, ""))</f>
        <v>0</v>
      </c>
      <c r="R430" s="63" t="str">
        <f>IF(StatusBranchGrade[[#This Row],[S1]] = 1, COUNTIF($Q$3:Q430, 1), "")</f>
        <v/>
      </c>
      <c r="S430" s="63" t="str">
        <f>IFERROR(INDEX(StatusBranchGrade[Rank/Grade], MATCH(ROWS($R$3:R430)-1, StatusBranchGrade[S2], 0)), "") &amp; ""</f>
        <v/>
      </c>
      <c r="T430" s="63">
        <f>--ISNUMBER(IF(StatusBranchGrade[[#This Row],[Spouse0]] = 'Calculation Worksheet'!$CG$6 &amp; "  /  " &amp; 'Calculation Worksheet'!$CG$7, 1, ""))</f>
        <v>0</v>
      </c>
      <c r="U430" s="63" t="str">
        <f>IF(StatusBranchGrade[[#This Row],[T1]] = 1, COUNTIF($T$3:T430, 1), "")</f>
        <v/>
      </c>
      <c r="V430" s="63" t="str">
        <f>IFERROR(INDEX(StatusBranchGrade[Rank/Grade], MATCH(ROWS($U$3:U430)-1, StatusBranchGrade[T2], 0)), "") &amp; ""</f>
        <v/>
      </c>
      <c r="W430" s="63"/>
    </row>
    <row r="431" spans="1:23" x14ac:dyDescent="0.25">
      <c r="A431">
        <v>6</v>
      </c>
      <c r="B431" t="s">
        <v>390</v>
      </c>
      <c r="C431" t="s">
        <v>182</v>
      </c>
      <c r="D431" s="75" t="s">
        <v>11</v>
      </c>
      <c r="E431" s="75" t="str">
        <f>IF(StatusBranchGrade[[#This Row],[Status]] = "CYS", "DoD", StatusBranchGrade[[#This Row],[Rank]] &amp; "")</f>
        <v>O2E</v>
      </c>
      <c r="F431" s="75" t="s">
        <v>90</v>
      </c>
      <c r="G431" s="75" t="str">
        <f>IF(StatusBranchGrade[[#This Row],[Rank]] = StatusBranchGrade[[#This Row],[Grade]], StatusBranchGrade[[#This Row],[Rank]], StatusBranchGrade[[#This Row],[Grade]] &amp; "/" &amp; StatusBranchGrade[[#This Row],[Rank]]) &amp; ""</f>
        <v>O-2/O2E</v>
      </c>
      <c r="H4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O-2/O2E</v>
      </c>
      <c r="I431" s="17" t="str">
        <f>SUBSTITUTE(SUBSTITUTE(SUBSTITUTE(StatusBranchGrade[[#This Row],[Status]] &amp; "  /  " &amp; StatusBranchGrade[[#This Row],[Branch]] &amp; ";", "  /  ;", ";"), "  /  ;", ";"), ";", "")</f>
        <v>Full-time Nat'l Guard  /  Navy</v>
      </c>
      <c r="J431">
        <v>12</v>
      </c>
      <c r="K431" s="17" t="str">
        <f>IF(LEFT(StatusBranchGrade[[#This Row],[Which]], 1) = "1", StatusBranchGrade[[#This Row],[Key]], "")</f>
        <v>Full-time Nat'l Guard  /  Navy  /  O-2/O2E</v>
      </c>
      <c r="L431" s="17" t="str">
        <f>IF(LEFT(StatusBranchGrade[[#This Row],[Which]], 1) = "1", StatusBranchGrade[[#This Row],[Key0]], "")</f>
        <v>Full-time Nat'l Guard  /  Navy</v>
      </c>
      <c r="M431" s="17" t="str">
        <f>IF(RIGHT(StatusBranchGrade[[#This Row],[Which]], 1) = "2", StatusBranchGrade[[#This Row],[Key]], "")</f>
        <v>Full-time Nat'l Guard  /  Navy  /  O-2/O2E</v>
      </c>
      <c r="N431" s="17" t="str">
        <f>IF(RIGHT(StatusBranchGrade[[#This Row],[Which]], 1) = "2", StatusBranchGrade[[#This Row],[Key0]], "")</f>
        <v>Full-time Nat'l Guard  /  Navy</v>
      </c>
      <c r="O431" s="17" t="s">
        <v>301</v>
      </c>
      <c r="P431" s="17"/>
      <c r="Q431" s="63">
        <f>--ISNUMBER(IF(StatusBranchGrade[[#This Row],[Sponsor0]] = 'Calculation Worksheet'!$AV$6 &amp; "  /  " &amp; 'Calculation Worksheet'!$AV$7, 1, ""))</f>
        <v>0</v>
      </c>
      <c r="R431" s="63" t="str">
        <f>IF(StatusBranchGrade[[#This Row],[S1]] = 1, COUNTIF($Q$3:Q431, 1), "")</f>
        <v/>
      </c>
      <c r="S431" s="63" t="str">
        <f>IFERROR(INDEX(StatusBranchGrade[Rank/Grade], MATCH(ROWS($R$3:R431)-1, StatusBranchGrade[S2], 0)), "") &amp; ""</f>
        <v/>
      </c>
      <c r="T431" s="63">
        <f>--ISNUMBER(IF(StatusBranchGrade[[#This Row],[Spouse0]] = 'Calculation Worksheet'!$CG$6 &amp; "  /  " &amp; 'Calculation Worksheet'!$CG$7, 1, ""))</f>
        <v>0</v>
      </c>
      <c r="U431" s="63" t="str">
        <f>IF(StatusBranchGrade[[#This Row],[T1]] = 1, COUNTIF($T$3:T431, 1), "")</f>
        <v/>
      </c>
      <c r="V431" s="63" t="str">
        <f>IFERROR(INDEX(StatusBranchGrade[Rank/Grade], MATCH(ROWS($U$3:U431)-1, StatusBranchGrade[T2], 0)), "") &amp; ""</f>
        <v/>
      </c>
      <c r="W431" s="63"/>
    </row>
    <row r="432" spans="1:23" x14ac:dyDescent="0.25">
      <c r="A432">
        <v>6</v>
      </c>
      <c r="B432" t="s">
        <v>390</v>
      </c>
      <c r="C432" t="s">
        <v>182</v>
      </c>
      <c r="D432" t="s">
        <v>89</v>
      </c>
      <c r="E432" t="str">
        <f>IF(StatusBranchGrade[[#This Row],[Status]] = "CYS", "DoD", StatusBranchGrade[[#This Row],[Rank]] &amp; "")</f>
        <v>O-3</v>
      </c>
      <c r="F432" t="s">
        <v>89</v>
      </c>
      <c r="G432" t="str">
        <f>IF(StatusBranchGrade[[#This Row],[Rank]] = StatusBranchGrade[[#This Row],[Grade]], StatusBranchGrade[[#This Row],[Rank]], StatusBranchGrade[[#This Row],[Grade]] &amp; "/" &amp; StatusBranchGrade[[#This Row],[Rank]]) &amp; ""</f>
        <v>O-3</v>
      </c>
      <c r="H4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O-3</v>
      </c>
      <c r="I432" s="17" t="str">
        <f>SUBSTITUTE(SUBSTITUTE(SUBSTITUTE(StatusBranchGrade[[#This Row],[Status]] &amp; "  /  " &amp; StatusBranchGrade[[#This Row],[Branch]] &amp; ";", "  /  ;", ";"), "  /  ;", ";"), ";", "")</f>
        <v>Full-time Nat'l Guard  /  Navy</v>
      </c>
      <c r="J432">
        <v>12</v>
      </c>
      <c r="K432" s="17" t="str">
        <f>IF(LEFT(StatusBranchGrade[[#This Row],[Which]], 1) = "1", StatusBranchGrade[[#This Row],[Key]], "")</f>
        <v>Full-time Nat'l Guard  /  Navy  /  O-3</v>
      </c>
      <c r="L432" s="17" t="str">
        <f>IF(LEFT(StatusBranchGrade[[#This Row],[Which]], 1) = "1", StatusBranchGrade[[#This Row],[Key0]], "")</f>
        <v>Full-time Nat'l Guard  /  Navy</v>
      </c>
      <c r="M432" s="17" t="str">
        <f>IF(RIGHT(StatusBranchGrade[[#This Row],[Which]], 1) = "2", StatusBranchGrade[[#This Row],[Key]], "")</f>
        <v>Full-time Nat'l Guard  /  Navy  /  O-3</v>
      </c>
      <c r="N432" s="17" t="str">
        <f>IF(RIGHT(StatusBranchGrade[[#This Row],[Which]], 1) = "2", StatusBranchGrade[[#This Row],[Key0]], "")</f>
        <v>Full-time Nat'l Guard  /  Navy</v>
      </c>
      <c r="O432" s="17" t="s">
        <v>301</v>
      </c>
      <c r="P432" s="17"/>
      <c r="Q432" s="63">
        <f>--ISNUMBER(IF(StatusBranchGrade[[#This Row],[Sponsor0]] = 'Calculation Worksheet'!$AV$6 &amp; "  /  " &amp; 'Calculation Worksheet'!$AV$7, 1, ""))</f>
        <v>0</v>
      </c>
      <c r="R432" s="63" t="str">
        <f>IF(StatusBranchGrade[[#This Row],[S1]] = 1, COUNTIF($Q$3:Q432, 1), "")</f>
        <v/>
      </c>
      <c r="S432" s="63" t="str">
        <f>IFERROR(INDEX(StatusBranchGrade[Rank/Grade], MATCH(ROWS($R$3:R432)-1, StatusBranchGrade[S2], 0)), "") &amp; ""</f>
        <v/>
      </c>
      <c r="T432" s="63">
        <f>--ISNUMBER(IF(StatusBranchGrade[[#This Row],[Spouse0]] = 'Calculation Worksheet'!$CG$6 &amp; "  /  " &amp; 'Calculation Worksheet'!$CG$7, 1, ""))</f>
        <v>0</v>
      </c>
      <c r="U432" s="63" t="str">
        <f>IF(StatusBranchGrade[[#This Row],[T1]] = 1, COUNTIF($T$3:T432, 1), "")</f>
        <v/>
      </c>
      <c r="V432" s="63" t="str">
        <f>IFERROR(INDEX(StatusBranchGrade[Rank/Grade], MATCH(ROWS($U$3:U432)-1, StatusBranchGrade[T2], 0)), "") &amp; ""</f>
        <v/>
      </c>
      <c r="W432" s="63"/>
    </row>
    <row r="433" spans="1:23" x14ac:dyDescent="0.25">
      <c r="A433">
        <v>6</v>
      </c>
      <c r="B433" t="s">
        <v>390</v>
      </c>
      <c r="C433" t="s">
        <v>182</v>
      </c>
      <c r="D433" s="75" t="s">
        <v>12</v>
      </c>
      <c r="E433" s="75" t="str">
        <f>IF(StatusBranchGrade[[#This Row],[Status]] = "CYS", "DoD", StatusBranchGrade[[#This Row],[Rank]] &amp; "")</f>
        <v>O3E</v>
      </c>
      <c r="F433" s="75" t="s">
        <v>89</v>
      </c>
      <c r="G433" s="75" t="str">
        <f>IF(StatusBranchGrade[[#This Row],[Rank]] = StatusBranchGrade[[#This Row],[Grade]], StatusBranchGrade[[#This Row],[Rank]], StatusBranchGrade[[#This Row],[Grade]] &amp; "/" &amp; StatusBranchGrade[[#This Row],[Rank]]) &amp; ""</f>
        <v>O-3/O3E</v>
      </c>
      <c r="H4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O-3/O3E</v>
      </c>
      <c r="I433" s="17" t="str">
        <f>SUBSTITUTE(SUBSTITUTE(SUBSTITUTE(StatusBranchGrade[[#This Row],[Status]] &amp; "  /  " &amp; StatusBranchGrade[[#This Row],[Branch]] &amp; ";", "  /  ;", ";"), "  /  ;", ";"), ";", "")</f>
        <v>Full-time Nat'l Guard  /  Navy</v>
      </c>
      <c r="J433">
        <v>12</v>
      </c>
      <c r="K433" s="17" t="str">
        <f>IF(LEFT(StatusBranchGrade[[#This Row],[Which]], 1) = "1", StatusBranchGrade[[#This Row],[Key]], "")</f>
        <v>Full-time Nat'l Guard  /  Navy  /  O-3/O3E</v>
      </c>
      <c r="L433" s="17" t="str">
        <f>IF(LEFT(StatusBranchGrade[[#This Row],[Which]], 1) = "1", StatusBranchGrade[[#This Row],[Key0]], "")</f>
        <v>Full-time Nat'l Guard  /  Navy</v>
      </c>
      <c r="M433" s="17" t="str">
        <f>IF(RIGHT(StatusBranchGrade[[#This Row],[Which]], 1) = "2", StatusBranchGrade[[#This Row],[Key]], "")</f>
        <v>Full-time Nat'l Guard  /  Navy  /  O-3/O3E</v>
      </c>
      <c r="N433" s="17" t="str">
        <f>IF(RIGHT(StatusBranchGrade[[#This Row],[Which]], 1) = "2", StatusBranchGrade[[#This Row],[Key0]], "")</f>
        <v>Full-time Nat'l Guard  /  Navy</v>
      </c>
      <c r="O433" s="17" t="s">
        <v>301</v>
      </c>
      <c r="P433" s="17"/>
      <c r="Q433" s="63">
        <f>--ISNUMBER(IF(StatusBranchGrade[[#This Row],[Sponsor0]] = 'Calculation Worksheet'!$AV$6 &amp; "  /  " &amp; 'Calculation Worksheet'!$AV$7, 1, ""))</f>
        <v>0</v>
      </c>
      <c r="R433" s="63" t="str">
        <f>IF(StatusBranchGrade[[#This Row],[S1]] = 1, COUNTIF($Q$3:Q433, 1), "")</f>
        <v/>
      </c>
      <c r="S433" s="63" t="str">
        <f>IFERROR(INDEX(StatusBranchGrade[Rank/Grade], MATCH(ROWS($R$3:R433)-1, StatusBranchGrade[S2], 0)), "") &amp; ""</f>
        <v/>
      </c>
      <c r="T433" s="63">
        <f>--ISNUMBER(IF(StatusBranchGrade[[#This Row],[Spouse0]] = 'Calculation Worksheet'!$CG$6 &amp; "  /  " &amp; 'Calculation Worksheet'!$CG$7, 1, ""))</f>
        <v>0</v>
      </c>
      <c r="U433" s="63" t="str">
        <f>IF(StatusBranchGrade[[#This Row],[T1]] = 1, COUNTIF($T$3:T433, 1), "")</f>
        <v/>
      </c>
      <c r="V433" s="63" t="str">
        <f>IFERROR(INDEX(StatusBranchGrade[Rank/Grade], MATCH(ROWS($U$3:U433)-1, StatusBranchGrade[T2], 0)), "") &amp; ""</f>
        <v/>
      </c>
      <c r="W433" s="63"/>
    </row>
    <row r="434" spans="1:23" x14ac:dyDescent="0.25">
      <c r="A434">
        <v>6</v>
      </c>
      <c r="B434" t="s">
        <v>390</v>
      </c>
      <c r="C434" t="s">
        <v>182</v>
      </c>
      <c r="D434" t="s">
        <v>88</v>
      </c>
      <c r="E434" t="str">
        <f>IF(StatusBranchGrade[[#This Row],[Status]] = "CYS", "DoD", StatusBranchGrade[[#This Row],[Rank]] &amp; "")</f>
        <v>O-4</v>
      </c>
      <c r="F434" t="s">
        <v>88</v>
      </c>
      <c r="G434" t="str">
        <f>IF(StatusBranchGrade[[#This Row],[Rank]] = StatusBranchGrade[[#This Row],[Grade]], StatusBranchGrade[[#This Row],[Rank]], StatusBranchGrade[[#This Row],[Grade]] &amp; "/" &amp; StatusBranchGrade[[#This Row],[Rank]]) &amp; ""</f>
        <v>O-4</v>
      </c>
      <c r="H4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O-4</v>
      </c>
      <c r="I434" s="17" t="str">
        <f>SUBSTITUTE(SUBSTITUTE(SUBSTITUTE(StatusBranchGrade[[#This Row],[Status]] &amp; "  /  " &amp; StatusBranchGrade[[#This Row],[Branch]] &amp; ";", "  /  ;", ";"), "  /  ;", ";"), ";", "")</f>
        <v>Full-time Nat'l Guard  /  Navy</v>
      </c>
      <c r="J434">
        <v>12</v>
      </c>
      <c r="K434" s="17" t="str">
        <f>IF(LEFT(StatusBranchGrade[[#This Row],[Which]], 1) = "1", StatusBranchGrade[[#This Row],[Key]], "")</f>
        <v>Full-time Nat'l Guard  /  Navy  /  O-4</v>
      </c>
      <c r="L434" s="17" t="str">
        <f>IF(LEFT(StatusBranchGrade[[#This Row],[Which]], 1) = "1", StatusBranchGrade[[#This Row],[Key0]], "")</f>
        <v>Full-time Nat'l Guard  /  Navy</v>
      </c>
      <c r="M434" s="17" t="str">
        <f>IF(RIGHT(StatusBranchGrade[[#This Row],[Which]], 1) = "2", StatusBranchGrade[[#This Row],[Key]], "")</f>
        <v>Full-time Nat'l Guard  /  Navy  /  O-4</v>
      </c>
      <c r="N434" s="17" t="str">
        <f>IF(RIGHT(StatusBranchGrade[[#This Row],[Which]], 1) = "2", StatusBranchGrade[[#This Row],[Key0]], "")</f>
        <v>Full-time Nat'l Guard  /  Navy</v>
      </c>
      <c r="O434" s="17" t="s">
        <v>301</v>
      </c>
      <c r="P434" s="17"/>
      <c r="Q434" s="63">
        <f>--ISNUMBER(IF(StatusBranchGrade[[#This Row],[Sponsor0]] = 'Calculation Worksheet'!$AV$6 &amp; "  /  " &amp; 'Calculation Worksheet'!$AV$7, 1, ""))</f>
        <v>0</v>
      </c>
      <c r="R434" s="63" t="str">
        <f>IF(StatusBranchGrade[[#This Row],[S1]] = 1, COUNTIF($Q$3:Q434, 1), "")</f>
        <v/>
      </c>
      <c r="S434" s="63" t="str">
        <f>IFERROR(INDEX(StatusBranchGrade[Rank/Grade], MATCH(ROWS($R$3:R434)-1, StatusBranchGrade[S2], 0)), "") &amp; ""</f>
        <v/>
      </c>
      <c r="T434" s="63">
        <f>--ISNUMBER(IF(StatusBranchGrade[[#This Row],[Spouse0]] = 'Calculation Worksheet'!$CG$6 &amp; "  /  " &amp; 'Calculation Worksheet'!$CG$7, 1, ""))</f>
        <v>0</v>
      </c>
      <c r="U434" s="63" t="str">
        <f>IF(StatusBranchGrade[[#This Row],[T1]] = 1, COUNTIF($T$3:T434, 1), "")</f>
        <v/>
      </c>
      <c r="V434" s="63" t="str">
        <f>IFERROR(INDEX(StatusBranchGrade[Rank/Grade], MATCH(ROWS($U$3:U434)-1, StatusBranchGrade[T2], 0)), "") &amp; ""</f>
        <v/>
      </c>
      <c r="W434" s="63"/>
    </row>
    <row r="435" spans="1:23" x14ac:dyDescent="0.25">
      <c r="A435">
        <v>6</v>
      </c>
      <c r="B435" t="s">
        <v>390</v>
      </c>
      <c r="C435" t="s">
        <v>182</v>
      </c>
      <c r="D435" t="s">
        <v>87</v>
      </c>
      <c r="E435" t="str">
        <f>IF(StatusBranchGrade[[#This Row],[Status]] = "CYS", "DoD", StatusBranchGrade[[#This Row],[Rank]] &amp; "")</f>
        <v>O-5</v>
      </c>
      <c r="F435" t="s">
        <v>87</v>
      </c>
      <c r="G435" t="str">
        <f>IF(StatusBranchGrade[[#This Row],[Rank]] = StatusBranchGrade[[#This Row],[Grade]], StatusBranchGrade[[#This Row],[Rank]], StatusBranchGrade[[#This Row],[Grade]] &amp; "/" &amp; StatusBranchGrade[[#This Row],[Rank]]) &amp; ""</f>
        <v>O-5</v>
      </c>
      <c r="H4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O-5</v>
      </c>
      <c r="I435" s="17" t="str">
        <f>SUBSTITUTE(SUBSTITUTE(SUBSTITUTE(StatusBranchGrade[[#This Row],[Status]] &amp; "  /  " &amp; StatusBranchGrade[[#This Row],[Branch]] &amp; ";", "  /  ;", ";"), "  /  ;", ";"), ";", "")</f>
        <v>Full-time Nat'l Guard  /  Navy</v>
      </c>
      <c r="J435">
        <v>12</v>
      </c>
      <c r="K435" s="17" t="str">
        <f>IF(LEFT(StatusBranchGrade[[#This Row],[Which]], 1) = "1", StatusBranchGrade[[#This Row],[Key]], "")</f>
        <v>Full-time Nat'l Guard  /  Navy  /  O-5</v>
      </c>
      <c r="L435" s="17" t="str">
        <f>IF(LEFT(StatusBranchGrade[[#This Row],[Which]], 1) = "1", StatusBranchGrade[[#This Row],[Key0]], "")</f>
        <v>Full-time Nat'l Guard  /  Navy</v>
      </c>
      <c r="M435" s="17" t="str">
        <f>IF(RIGHT(StatusBranchGrade[[#This Row],[Which]], 1) = "2", StatusBranchGrade[[#This Row],[Key]], "")</f>
        <v>Full-time Nat'l Guard  /  Navy  /  O-5</v>
      </c>
      <c r="N435" s="17" t="str">
        <f>IF(RIGHT(StatusBranchGrade[[#This Row],[Which]], 1) = "2", StatusBranchGrade[[#This Row],[Key0]], "")</f>
        <v>Full-time Nat'l Guard  /  Navy</v>
      </c>
      <c r="O435" s="17" t="s">
        <v>301</v>
      </c>
      <c r="P435" s="17"/>
      <c r="Q435" s="63">
        <f>--ISNUMBER(IF(StatusBranchGrade[[#This Row],[Sponsor0]] = 'Calculation Worksheet'!$AV$6 &amp; "  /  " &amp; 'Calculation Worksheet'!$AV$7, 1, ""))</f>
        <v>0</v>
      </c>
      <c r="R435" s="63" t="str">
        <f>IF(StatusBranchGrade[[#This Row],[S1]] = 1, COUNTIF($Q$3:Q435, 1), "")</f>
        <v/>
      </c>
      <c r="S435" s="63" t="str">
        <f>IFERROR(INDEX(StatusBranchGrade[Rank/Grade], MATCH(ROWS($R$3:R435)-1, StatusBranchGrade[S2], 0)), "") &amp; ""</f>
        <v/>
      </c>
      <c r="T435" s="63">
        <f>--ISNUMBER(IF(StatusBranchGrade[[#This Row],[Spouse0]] = 'Calculation Worksheet'!$CG$6 &amp; "  /  " &amp; 'Calculation Worksheet'!$CG$7, 1, ""))</f>
        <v>0</v>
      </c>
      <c r="U435" s="63" t="str">
        <f>IF(StatusBranchGrade[[#This Row],[T1]] = 1, COUNTIF($T$3:T435, 1), "")</f>
        <v/>
      </c>
      <c r="V435" s="63" t="str">
        <f>IFERROR(INDEX(StatusBranchGrade[Rank/Grade], MATCH(ROWS($U$3:U435)-1, StatusBranchGrade[T2], 0)), "") &amp; ""</f>
        <v/>
      </c>
      <c r="W435" s="63"/>
    </row>
    <row r="436" spans="1:23" x14ac:dyDescent="0.25">
      <c r="A436">
        <v>6</v>
      </c>
      <c r="B436" t="s">
        <v>390</v>
      </c>
      <c r="C436" t="s">
        <v>182</v>
      </c>
      <c r="D436" t="s">
        <v>86</v>
      </c>
      <c r="E436" t="str">
        <f>IF(StatusBranchGrade[[#This Row],[Status]] = "CYS", "DoD", StatusBranchGrade[[#This Row],[Rank]] &amp; "")</f>
        <v>O-6</v>
      </c>
      <c r="F436" t="s">
        <v>86</v>
      </c>
      <c r="G436" t="str">
        <f>IF(StatusBranchGrade[[#This Row],[Rank]] = StatusBranchGrade[[#This Row],[Grade]], StatusBranchGrade[[#This Row],[Rank]], StatusBranchGrade[[#This Row],[Grade]] &amp; "/" &amp; StatusBranchGrade[[#This Row],[Rank]]) &amp; ""</f>
        <v>O-6</v>
      </c>
      <c r="H4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O-6</v>
      </c>
      <c r="I436" s="17" t="str">
        <f>SUBSTITUTE(SUBSTITUTE(SUBSTITUTE(StatusBranchGrade[[#This Row],[Status]] &amp; "  /  " &amp; StatusBranchGrade[[#This Row],[Branch]] &amp; ";", "  /  ;", ";"), "  /  ;", ";"), ";", "")</f>
        <v>Full-time Nat'l Guard  /  Navy</v>
      </c>
      <c r="J436">
        <v>12</v>
      </c>
      <c r="K436" s="17" t="str">
        <f>IF(LEFT(StatusBranchGrade[[#This Row],[Which]], 1) = "1", StatusBranchGrade[[#This Row],[Key]], "")</f>
        <v>Full-time Nat'l Guard  /  Navy  /  O-6</v>
      </c>
      <c r="L436" s="17" t="str">
        <f>IF(LEFT(StatusBranchGrade[[#This Row],[Which]], 1) = "1", StatusBranchGrade[[#This Row],[Key0]], "")</f>
        <v>Full-time Nat'l Guard  /  Navy</v>
      </c>
      <c r="M436" s="17" t="str">
        <f>IF(RIGHT(StatusBranchGrade[[#This Row],[Which]], 1) = "2", StatusBranchGrade[[#This Row],[Key]], "")</f>
        <v>Full-time Nat'l Guard  /  Navy  /  O-6</v>
      </c>
      <c r="N436" s="17" t="str">
        <f>IF(RIGHT(StatusBranchGrade[[#This Row],[Which]], 1) = "2", StatusBranchGrade[[#This Row],[Key0]], "")</f>
        <v>Full-time Nat'l Guard  /  Navy</v>
      </c>
      <c r="O436" s="17" t="s">
        <v>301</v>
      </c>
      <c r="P436" s="17"/>
      <c r="Q436" s="63">
        <f>--ISNUMBER(IF(StatusBranchGrade[[#This Row],[Sponsor0]] = 'Calculation Worksheet'!$AV$6 &amp; "  /  " &amp; 'Calculation Worksheet'!$AV$7, 1, ""))</f>
        <v>0</v>
      </c>
      <c r="R436" s="63" t="str">
        <f>IF(StatusBranchGrade[[#This Row],[S1]] = 1, COUNTIF($Q$3:Q436, 1), "")</f>
        <v/>
      </c>
      <c r="S436" s="63" t="str">
        <f>IFERROR(INDEX(StatusBranchGrade[Rank/Grade], MATCH(ROWS($R$3:R436)-1, StatusBranchGrade[S2], 0)), "") &amp; ""</f>
        <v/>
      </c>
      <c r="T436" s="63">
        <f>--ISNUMBER(IF(StatusBranchGrade[[#This Row],[Spouse0]] = 'Calculation Worksheet'!$CG$6 &amp; "  /  " &amp; 'Calculation Worksheet'!$CG$7, 1, ""))</f>
        <v>0</v>
      </c>
      <c r="U436" s="63" t="str">
        <f>IF(StatusBranchGrade[[#This Row],[T1]] = 1, COUNTIF($T$3:T436, 1), "")</f>
        <v/>
      </c>
      <c r="V436" s="63" t="str">
        <f>IFERROR(INDEX(StatusBranchGrade[Rank/Grade], MATCH(ROWS($U$3:U436)-1, StatusBranchGrade[T2], 0)), "") &amp; ""</f>
        <v/>
      </c>
      <c r="W436" s="63"/>
    </row>
    <row r="437" spans="1:23" x14ac:dyDescent="0.25">
      <c r="A437">
        <v>6</v>
      </c>
      <c r="B437" t="s">
        <v>390</v>
      </c>
      <c r="C437" t="s">
        <v>182</v>
      </c>
      <c r="D437" t="s">
        <v>85</v>
      </c>
      <c r="E437" t="str">
        <f>IF(StatusBranchGrade[[#This Row],[Status]] = "CYS", "DoD", StatusBranchGrade[[#This Row],[Rank]] &amp; "")</f>
        <v>O-7</v>
      </c>
      <c r="F437" t="s">
        <v>85</v>
      </c>
      <c r="G437" t="str">
        <f>IF(StatusBranchGrade[[#This Row],[Rank]] = StatusBranchGrade[[#This Row],[Grade]], StatusBranchGrade[[#This Row],[Rank]], StatusBranchGrade[[#This Row],[Grade]] &amp; "/" &amp; StatusBranchGrade[[#This Row],[Rank]]) &amp; ""</f>
        <v>O-7</v>
      </c>
      <c r="H4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O-7</v>
      </c>
      <c r="I437" s="17" t="str">
        <f>SUBSTITUTE(SUBSTITUTE(SUBSTITUTE(StatusBranchGrade[[#This Row],[Status]] &amp; "  /  " &amp; StatusBranchGrade[[#This Row],[Branch]] &amp; ";", "  /  ;", ";"), "  /  ;", ";"), ";", "")</f>
        <v>Full-time Nat'l Guard  /  Navy</v>
      </c>
      <c r="J437">
        <v>12</v>
      </c>
      <c r="K437" s="17" t="str">
        <f>IF(LEFT(StatusBranchGrade[[#This Row],[Which]], 1) = "1", StatusBranchGrade[[#This Row],[Key]], "")</f>
        <v>Full-time Nat'l Guard  /  Navy  /  O-7</v>
      </c>
      <c r="L437" s="17" t="str">
        <f>IF(LEFT(StatusBranchGrade[[#This Row],[Which]], 1) = "1", StatusBranchGrade[[#This Row],[Key0]], "")</f>
        <v>Full-time Nat'l Guard  /  Navy</v>
      </c>
      <c r="M437" s="17" t="str">
        <f>IF(RIGHT(StatusBranchGrade[[#This Row],[Which]], 1) = "2", StatusBranchGrade[[#This Row],[Key]], "")</f>
        <v>Full-time Nat'l Guard  /  Navy  /  O-7</v>
      </c>
      <c r="N437" s="17" t="str">
        <f>IF(RIGHT(StatusBranchGrade[[#This Row],[Which]], 1) = "2", StatusBranchGrade[[#This Row],[Key0]], "")</f>
        <v>Full-time Nat'l Guard  /  Navy</v>
      </c>
      <c r="O437" s="17" t="s">
        <v>301</v>
      </c>
      <c r="P437" s="17"/>
      <c r="Q437" s="63">
        <f>--ISNUMBER(IF(StatusBranchGrade[[#This Row],[Sponsor0]] = 'Calculation Worksheet'!$AV$6 &amp; "  /  " &amp; 'Calculation Worksheet'!$AV$7, 1, ""))</f>
        <v>0</v>
      </c>
      <c r="R437" s="63" t="str">
        <f>IF(StatusBranchGrade[[#This Row],[S1]] = 1, COUNTIF($Q$3:Q437, 1), "")</f>
        <v/>
      </c>
      <c r="S437" s="63" t="str">
        <f>IFERROR(INDEX(StatusBranchGrade[Rank/Grade], MATCH(ROWS($R$3:R437)-1, StatusBranchGrade[S2], 0)), "") &amp; ""</f>
        <v/>
      </c>
      <c r="T437" s="63">
        <f>--ISNUMBER(IF(StatusBranchGrade[[#This Row],[Spouse0]] = 'Calculation Worksheet'!$CG$6 &amp; "  /  " &amp; 'Calculation Worksheet'!$CG$7, 1, ""))</f>
        <v>0</v>
      </c>
      <c r="U437" s="63" t="str">
        <f>IF(StatusBranchGrade[[#This Row],[T1]] = 1, COUNTIF($T$3:T437, 1), "")</f>
        <v/>
      </c>
      <c r="V437" s="63" t="str">
        <f>IFERROR(INDEX(StatusBranchGrade[Rank/Grade], MATCH(ROWS($U$3:U437)-1, StatusBranchGrade[T2], 0)), "") &amp; ""</f>
        <v/>
      </c>
      <c r="W437" s="63"/>
    </row>
    <row r="438" spans="1:23" x14ac:dyDescent="0.25">
      <c r="A438">
        <v>6</v>
      </c>
      <c r="B438" t="s">
        <v>390</v>
      </c>
      <c r="C438" t="s">
        <v>182</v>
      </c>
      <c r="D438" t="s">
        <v>84</v>
      </c>
      <c r="E438" t="str">
        <f>IF(StatusBranchGrade[[#This Row],[Status]] = "CYS", "DoD", StatusBranchGrade[[#This Row],[Rank]] &amp; "")</f>
        <v>O-8</v>
      </c>
      <c r="F438" t="s">
        <v>84</v>
      </c>
      <c r="G438" t="str">
        <f>IF(StatusBranchGrade[[#This Row],[Rank]] = StatusBranchGrade[[#This Row],[Grade]], StatusBranchGrade[[#This Row],[Rank]], StatusBranchGrade[[#This Row],[Grade]] &amp; "/" &amp; StatusBranchGrade[[#This Row],[Rank]]) &amp; ""</f>
        <v>O-8</v>
      </c>
      <c r="H4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O-8</v>
      </c>
      <c r="I438" s="17" t="str">
        <f>SUBSTITUTE(SUBSTITUTE(SUBSTITUTE(StatusBranchGrade[[#This Row],[Status]] &amp; "  /  " &amp; StatusBranchGrade[[#This Row],[Branch]] &amp; ";", "  /  ;", ";"), "  /  ;", ";"), ";", "")</f>
        <v>Full-time Nat'l Guard  /  Navy</v>
      </c>
      <c r="J438">
        <v>12</v>
      </c>
      <c r="K438" s="17" t="str">
        <f>IF(LEFT(StatusBranchGrade[[#This Row],[Which]], 1) = "1", StatusBranchGrade[[#This Row],[Key]], "")</f>
        <v>Full-time Nat'l Guard  /  Navy  /  O-8</v>
      </c>
      <c r="L438" s="17" t="str">
        <f>IF(LEFT(StatusBranchGrade[[#This Row],[Which]], 1) = "1", StatusBranchGrade[[#This Row],[Key0]], "")</f>
        <v>Full-time Nat'l Guard  /  Navy</v>
      </c>
      <c r="M438" s="17" t="str">
        <f>IF(RIGHT(StatusBranchGrade[[#This Row],[Which]], 1) = "2", StatusBranchGrade[[#This Row],[Key]], "")</f>
        <v>Full-time Nat'l Guard  /  Navy  /  O-8</v>
      </c>
      <c r="N438" s="17" t="str">
        <f>IF(RIGHT(StatusBranchGrade[[#This Row],[Which]], 1) = "2", StatusBranchGrade[[#This Row],[Key0]], "")</f>
        <v>Full-time Nat'l Guard  /  Navy</v>
      </c>
      <c r="O438" s="17" t="s">
        <v>301</v>
      </c>
      <c r="P438" s="17"/>
      <c r="Q438" s="63">
        <f>--ISNUMBER(IF(StatusBranchGrade[[#This Row],[Sponsor0]] = 'Calculation Worksheet'!$AV$6 &amp; "  /  " &amp; 'Calculation Worksheet'!$AV$7, 1, ""))</f>
        <v>0</v>
      </c>
      <c r="R438" s="63" t="str">
        <f>IF(StatusBranchGrade[[#This Row],[S1]] = 1, COUNTIF($Q$3:Q438, 1), "")</f>
        <v/>
      </c>
      <c r="S438" s="63" t="str">
        <f>IFERROR(INDEX(StatusBranchGrade[Rank/Grade], MATCH(ROWS($R$3:R438)-1, StatusBranchGrade[S2], 0)), "") &amp; ""</f>
        <v/>
      </c>
      <c r="T438" s="63">
        <f>--ISNUMBER(IF(StatusBranchGrade[[#This Row],[Spouse0]] = 'Calculation Worksheet'!$CG$6 &amp; "  /  " &amp; 'Calculation Worksheet'!$CG$7, 1, ""))</f>
        <v>0</v>
      </c>
      <c r="U438" s="63" t="str">
        <f>IF(StatusBranchGrade[[#This Row],[T1]] = 1, COUNTIF($T$3:T438, 1), "")</f>
        <v/>
      </c>
      <c r="V438" s="63" t="str">
        <f>IFERROR(INDEX(StatusBranchGrade[Rank/Grade], MATCH(ROWS($U$3:U438)-1, StatusBranchGrade[T2], 0)), "") &amp; ""</f>
        <v/>
      </c>
      <c r="W438" s="63"/>
    </row>
    <row r="439" spans="1:23" x14ac:dyDescent="0.25">
      <c r="A439">
        <v>6</v>
      </c>
      <c r="B439" t="s">
        <v>390</v>
      </c>
      <c r="C439" t="s">
        <v>182</v>
      </c>
      <c r="D439" t="s">
        <v>83</v>
      </c>
      <c r="E439" t="str">
        <f>IF(StatusBranchGrade[[#This Row],[Status]] = "CYS", "DoD", StatusBranchGrade[[#This Row],[Rank]] &amp; "")</f>
        <v>O-9</v>
      </c>
      <c r="F439" t="s">
        <v>83</v>
      </c>
      <c r="G439" t="str">
        <f>IF(StatusBranchGrade[[#This Row],[Rank]] = StatusBranchGrade[[#This Row],[Grade]], StatusBranchGrade[[#This Row],[Rank]], StatusBranchGrade[[#This Row],[Grade]] &amp; "/" &amp; StatusBranchGrade[[#This Row],[Rank]]) &amp; ""</f>
        <v>O-9</v>
      </c>
      <c r="H4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O-9</v>
      </c>
      <c r="I439" s="17" t="str">
        <f>SUBSTITUTE(SUBSTITUTE(SUBSTITUTE(StatusBranchGrade[[#This Row],[Status]] &amp; "  /  " &amp; StatusBranchGrade[[#This Row],[Branch]] &amp; ";", "  /  ;", ";"), "  /  ;", ";"), ";", "")</f>
        <v>Full-time Nat'l Guard  /  Navy</v>
      </c>
      <c r="J439">
        <v>12</v>
      </c>
      <c r="K439" s="17" t="str">
        <f>IF(LEFT(StatusBranchGrade[[#This Row],[Which]], 1) = "1", StatusBranchGrade[[#This Row],[Key]], "")</f>
        <v>Full-time Nat'l Guard  /  Navy  /  O-9</v>
      </c>
      <c r="L439" s="17" t="str">
        <f>IF(LEFT(StatusBranchGrade[[#This Row],[Which]], 1) = "1", StatusBranchGrade[[#This Row],[Key0]], "")</f>
        <v>Full-time Nat'l Guard  /  Navy</v>
      </c>
      <c r="M439" s="17" t="str">
        <f>IF(RIGHT(StatusBranchGrade[[#This Row],[Which]], 1) = "2", StatusBranchGrade[[#This Row],[Key]], "")</f>
        <v>Full-time Nat'l Guard  /  Navy  /  O-9</v>
      </c>
      <c r="N439" s="17" t="str">
        <f>IF(RIGHT(StatusBranchGrade[[#This Row],[Which]], 1) = "2", StatusBranchGrade[[#This Row],[Key0]], "")</f>
        <v>Full-time Nat'l Guard  /  Navy</v>
      </c>
      <c r="O439" s="17" t="s">
        <v>301</v>
      </c>
      <c r="P439" s="17"/>
      <c r="Q439" s="63">
        <f>--ISNUMBER(IF(StatusBranchGrade[[#This Row],[Sponsor0]] = 'Calculation Worksheet'!$AV$6 &amp; "  /  " &amp; 'Calculation Worksheet'!$AV$7, 1, ""))</f>
        <v>0</v>
      </c>
      <c r="R439" s="63" t="str">
        <f>IF(StatusBranchGrade[[#This Row],[S1]] = 1, COUNTIF($Q$3:Q439, 1), "")</f>
        <v/>
      </c>
      <c r="S439" s="63" t="str">
        <f>IFERROR(INDEX(StatusBranchGrade[Rank/Grade], MATCH(ROWS($R$3:R439)-1, StatusBranchGrade[S2], 0)), "") &amp; ""</f>
        <v/>
      </c>
      <c r="T439" s="63">
        <f>--ISNUMBER(IF(StatusBranchGrade[[#This Row],[Spouse0]] = 'Calculation Worksheet'!$CG$6 &amp; "  /  " &amp; 'Calculation Worksheet'!$CG$7, 1, ""))</f>
        <v>0</v>
      </c>
      <c r="U439" s="63" t="str">
        <f>IF(StatusBranchGrade[[#This Row],[T1]] = 1, COUNTIF($T$3:T439, 1), "")</f>
        <v/>
      </c>
      <c r="V439" s="63" t="str">
        <f>IFERROR(INDEX(StatusBranchGrade[Rank/Grade], MATCH(ROWS($U$3:U439)-1, StatusBranchGrade[T2], 0)), "") &amp; ""</f>
        <v/>
      </c>
      <c r="W439" s="63"/>
    </row>
    <row r="440" spans="1:23" x14ac:dyDescent="0.25">
      <c r="A440">
        <v>6</v>
      </c>
      <c r="B440" t="s">
        <v>390</v>
      </c>
      <c r="C440" t="s">
        <v>182</v>
      </c>
      <c r="D440" t="s">
        <v>96</v>
      </c>
      <c r="E440" t="str">
        <f>IF(StatusBranchGrade[[#This Row],[Status]] = "CYS", "DoD", StatusBranchGrade[[#This Row],[Rank]] &amp; "")</f>
        <v>W-1</v>
      </c>
      <c r="F440" t="s">
        <v>96</v>
      </c>
      <c r="G440" t="str">
        <f>IF(StatusBranchGrade[[#This Row],[Rank]] = StatusBranchGrade[[#This Row],[Grade]], StatusBranchGrade[[#This Row],[Rank]], StatusBranchGrade[[#This Row],[Grade]] &amp; "/" &amp; StatusBranchGrade[[#This Row],[Rank]]) &amp; ""</f>
        <v>W-1</v>
      </c>
      <c r="H4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W-1</v>
      </c>
      <c r="I440" s="17" t="str">
        <f>SUBSTITUTE(SUBSTITUTE(SUBSTITUTE(StatusBranchGrade[[#This Row],[Status]] &amp; "  /  " &amp; StatusBranchGrade[[#This Row],[Branch]] &amp; ";", "  /  ;", ";"), "  /  ;", ";"), ";", "")</f>
        <v>Full-time Nat'l Guard  /  Navy</v>
      </c>
      <c r="J440">
        <v>12</v>
      </c>
      <c r="K440" s="17" t="str">
        <f>IF(LEFT(StatusBranchGrade[[#This Row],[Which]], 1) = "1", StatusBranchGrade[[#This Row],[Key]], "")</f>
        <v>Full-time Nat'l Guard  /  Navy  /  W-1</v>
      </c>
      <c r="L440" s="17" t="str">
        <f>IF(LEFT(StatusBranchGrade[[#This Row],[Which]], 1) = "1", StatusBranchGrade[[#This Row],[Key0]], "")</f>
        <v>Full-time Nat'l Guard  /  Navy</v>
      </c>
      <c r="M440" s="17" t="str">
        <f>IF(RIGHT(StatusBranchGrade[[#This Row],[Which]], 1) = "2", StatusBranchGrade[[#This Row],[Key]], "")</f>
        <v>Full-time Nat'l Guard  /  Navy  /  W-1</v>
      </c>
      <c r="N440" s="17" t="str">
        <f>IF(RIGHT(StatusBranchGrade[[#This Row],[Which]], 1) = "2", StatusBranchGrade[[#This Row],[Key0]], "")</f>
        <v>Full-time Nat'l Guard  /  Navy</v>
      </c>
      <c r="O440" s="17" t="s">
        <v>301</v>
      </c>
      <c r="P440" s="17"/>
      <c r="Q440" s="63">
        <f>--ISNUMBER(IF(StatusBranchGrade[[#This Row],[Sponsor0]] = 'Calculation Worksheet'!$AV$6 &amp; "  /  " &amp; 'Calculation Worksheet'!$AV$7, 1, ""))</f>
        <v>0</v>
      </c>
      <c r="R440" s="63" t="str">
        <f>IF(StatusBranchGrade[[#This Row],[S1]] = 1, COUNTIF($Q$3:Q440, 1), "")</f>
        <v/>
      </c>
      <c r="S440" s="63" t="str">
        <f>IFERROR(INDEX(StatusBranchGrade[Rank/Grade], MATCH(ROWS($R$3:R440)-1, StatusBranchGrade[S2], 0)), "") &amp; ""</f>
        <v/>
      </c>
      <c r="T440" s="63">
        <f>--ISNUMBER(IF(StatusBranchGrade[[#This Row],[Spouse0]] = 'Calculation Worksheet'!$CG$6 &amp; "  /  " &amp; 'Calculation Worksheet'!$CG$7, 1, ""))</f>
        <v>0</v>
      </c>
      <c r="U440" s="63" t="str">
        <f>IF(StatusBranchGrade[[#This Row],[T1]] = 1, COUNTIF($T$3:T440, 1), "")</f>
        <v/>
      </c>
      <c r="V440" s="63" t="str">
        <f>IFERROR(INDEX(StatusBranchGrade[Rank/Grade], MATCH(ROWS($U$3:U440)-1, StatusBranchGrade[T2], 0)), "") &amp; ""</f>
        <v/>
      </c>
      <c r="W440" s="63"/>
    </row>
    <row r="441" spans="1:23" x14ac:dyDescent="0.25">
      <c r="A441">
        <v>6</v>
      </c>
      <c r="B441" t="s">
        <v>390</v>
      </c>
      <c r="C441" t="s">
        <v>182</v>
      </c>
      <c r="D441" t="s">
        <v>95</v>
      </c>
      <c r="E441" t="str">
        <f>IF(StatusBranchGrade[[#This Row],[Status]] = "CYS", "DoD", StatusBranchGrade[[#This Row],[Rank]] &amp; "")</f>
        <v>W-2</v>
      </c>
      <c r="F441" t="s">
        <v>95</v>
      </c>
      <c r="G441" t="str">
        <f>IF(StatusBranchGrade[[#This Row],[Rank]] = StatusBranchGrade[[#This Row],[Grade]], StatusBranchGrade[[#This Row],[Rank]], StatusBranchGrade[[#This Row],[Grade]] &amp; "/" &amp; StatusBranchGrade[[#This Row],[Rank]]) &amp; ""</f>
        <v>W-2</v>
      </c>
      <c r="H4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W-2</v>
      </c>
      <c r="I441" s="17" t="str">
        <f>SUBSTITUTE(SUBSTITUTE(SUBSTITUTE(StatusBranchGrade[[#This Row],[Status]] &amp; "  /  " &amp; StatusBranchGrade[[#This Row],[Branch]] &amp; ";", "  /  ;", ";"), "  /  ;", ";"), ";", "")</f>
        <v>Full-time Nat'l Guard  /  Navy</v>
      </c>
      <c r="J441">
        <v>12</v>
      </c>
      <c r="K441" s="17" t="str">
        <f>IF(LEFT(StatusBranchGrade[[#This Row],[Which]], 1) = "1", StatusBranchGrade[[#This Row],[Key]], "")</f>
        <v>Full-time Nat'l Guard  /  Navy  /  W-2</v>
      </c>
      <c r="L441" s="17" t="str">
        <f>IF(LEFT(StatusBranchGrade[[#This Row],[Which]], 1) = "1", StatusBranchGrade[[#This Row],[Key0]], "")</f>
        <v>Full-time Nat'l Guard  /  Navy</v>
      </c>
      <c r="M441" s="17" t="str">
        <f>IF(RIGHT(StatusBranchGrade[[#This Row],[Which]], 1) = "2", StatusBranchGrade[[#This Row],[Key]], "")</f>
        <v>Full-time Nat'l Guard  /  Navy  /  W-2</v>
      </c>
      <c r="N441" s="17" t="str">
        <f>IF(RIGHT(StatusBranchGrade[[#This Row],[Which]], 1) = "2", StatusBranchGrade[[#This Row],[Key0]], "")</f>
        <v>Full-time Nat'l Guard  /  Navy</v>
      </c>
      <c r="O441" s="17" t="s">
        <v>301</v>
      </c>
      <c r="P441" s="17"/>
      <c r="Q441" s="63">
        <f>--ISNUMBER(IF(StatusBranchGrade[[#This Row],[Sponsor0]] = 'Calculation Worksheet'!$AV$6 &amp; "  /  " &amp; 'Calculation Worksheet'!$AV$7, 1, ""))</f>
        <v>0</v>
      </c>
      <c r="R441" s="63" t="str">
        <f>IF(StatusBranchGrade[[#This Row],[S1]] = 1, COUNTIF($Q$3:Q441, 1), "")</f>
        <v/>
      </c>
      <c r="S441" s="63" t="str">
        <f>IFERROR(INDEX(StatusBranchGrade[Rank/Grade], MATCH(ROWS($R$3:R441)-1, StatusBranchGrade[S2], 0)), "") &amp; ""</f>
        <v/>
      </c>
      <c r="T441" s="63">
        <f>--ISNUMBER(IF(StatusBranchGrade[[#This Row],[Spouse0]] = 'Calculation Worksheet'!$CG$6 &amp; "  /  " &amp; 'Calculation Worksheet'!$CG$7, 1, ""))</f>
        <v>0</v>
      </c>
      <c r="U441" s="63" t="str">
        <f>IF(StatusBranchGrade[[#This Row],[T1]] = 1, COUNTIF($T$3:T441, 1), "")</f>
        <v/>
      </c>
      <c r="V441" s="63" t="str">
        <f>IFERROR(INDEX(StatusBranchGrade[Rank/Grade], MATCH(ROWS($U$3:U441)-1, StatusBranchGrade[T2], 0)), "") &amp; ""</f>
        <v/>
      </c>
      <c r="W441" s="63"/>
    </row>
    <row r="442" spans="1:23" x14ac:dyDescent="0.25">
      <c r="A442">
        <v>6</v>
      </c>
      <c r="B442" t="s">
        <v>390</v>
      </c>
      <c r="C442" t="s">
        <v>182</v>
      </c>
      <c r="D442" t="s">
        <v>94</v>
      </c>
      <c r="E442" t="str">
        <f>IF(StatusBranchGrade[[#This Row],[Status]] = "CYS", "DoD", StatusBranchGrade[[#This Row],[Rank]] &amp; "")</f>
        <v>W-3</v>
      </c>
      <c r="F442" t="s">
        <v>94</v>
      </c>
      <c r="G442" t="str">
        <f>IF(StatusBranchGrade[[#This Row],[Rank]] = StatusBranchGrade[[#This Row],[Grade]], StatusBranchGrade[[#This Row],[Rank]], StatusBranchGrade[[#This Row],[Grade]] &amp; "/" &amp; StatusBranchGrade[[#This Row],[Rank]]) &amp; ""</f>
        <v>W-3</v>
      </c>
      <c r="H4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W-3</v>
      </c>
      <c r="I442" s="17" t="str">
        <f>SUBSTITUTE(SUBSTITUTE(SUBSTITUTE(StatusBranchGrade[[#This Row],[Status]] &amp; "  /  " &amp; StatusBranchGrade[[#This Row],[Branch]] &amp; ";", "  /  ;", ";"), "  /  ;", ";"), ";", "")</f>
        <v>Full-time Nat'l Guard  /  Navy</v>
      </c>
      <c r="J442">
        <v>12</v>
      </c>
      <c r="K442" s="17" t="str">
        <f>IF(LEFT(StatusBranchGrade[[#This Row],[Which]], 1) = "1", StatusBranchGrade[[#This Row],[Key]], "")</f>
        <v>Full-time Nat'l Guard  /  Navy  /  W-3</v>
      </c>
      <c r="L442" s="17" t="str">
        <f>IF(LEFT(StatusBranchGrade[[#This Row],[Which]], 1) = "1", StatusBranchGrade[[#This Row],[Key0]], "")</f>
        <v>Full-time Nat'l Guard  /  Navy</v>
      </c>
      <c r="M442" s="17" t="str">
        <f>IF(RIGHT(StatusBranchGrade[[#This Row],[Which]], 1) = "2", StatusBranchGrade[[#This Row],[Key]], "")</f>
        <v>Full-time Nat'l Guard  /  Navy  /  W-3</v>
      </c>
      <c r="N442" s="17" t="str">
        <f>IF(RIGHT(StatusBranchGrade[[#This Row],[Which]], 1) = "2", StatusBranchGrade[[#This Row],[Key0]], "")</f>
        <v>Full-time Nat'l Guard  /  Navy</v>
      </c>
      <c r="O442" s="17" t="s">
        <v>301</v>
      </c>
      <c r="P442" s="17"/>
      <c r="Q442" s="63">
        <f>--ISNUMBER(IF(StatusBranchGrade[[#This Row],[Sponsor0]] = 'Calculation Worksheet'!$AV$6 &amp; "  /  " &amp; 'Calculation Worksheet'!$AV$7, 1, ""))</f>
        <v>0</v>
      </c>
      <c r="R442" s="63" t="str">
        <f>IF(StatusBranchGrade[[#This Row],[S1]] = 1, COUNTIF($Q$3:Q442, 1), "")</f>
        <v/>
      </c>
      <c r="S442" s="63" t="str">
        <f>IFERROR(INDEX(StatusBranchGrade[Rank/Grade], MATCH(ROWS($R$3:R442)-1, StatusBranchGrade[S2], 0)), "") &amp; ""</f>
        <v/>
      </c>
      <c r="T442" s="63">
        <f>--ISNUMBER(IF(StatusBranchGrade[[#This Row],[Spouse0]] = 'Calculation Worksheet'!$CG$6 &amp; "  /  " &amp; 'Calculation Worksheet'!$CG$7, 1, ""))</f>
        <v>0</v>
      </c>
      <c r="U442" s="63" t="str">
        <f>IF(StatusBranchGrade[[#This Row],[T1]] = 1, COUNTIF($T$3:T442, 1), "")</f>
        <v/>
      </c>
      <c r="V442" s="63" t="str">
        <f>IFERROR(INDEX(StatusBranchGrade[Rank/Grade], MATCH(ROWS($U$3:U442)-1, StatusBranchGrade[T2], 0)), "") &amp; ""</f>
        <v/>
      </c>
      <c r="W442" s="63"/>
    </row>
    <row r="443" spans="1:23" x14ac:dyDescent="0.25">
      <c r="A443">
        <v>6</v>
      </c>
      <c r="B443" t="s">
        <v>390</v>
      </c>
      <c r="C443" t="s">
        <v>182</v>
      </c>
      <c r="D443" t="s">
        <v>93</v>
      </c>
      <c r="E443" t="str">
        <f>IF(StatusBranchGrade[[#This Row],[Status]] = "CYS", "DoD", StatusBranchGrade[[#This Row],[Rank]] &amp; "")</f>
        <v>W-4</v>
      </c>
      <c r="F443" t="s">
        <v>93</v>
      </c>
      <c r="G443" t="str">
        <f>IF(StatusBranchGrade[[#This Row],[Rank]] = StatusBranchGrade[[#This Row],[Grade]], StatusBranchGrade[[#This Row],[Rank]], StatusBranchGrade[[#This Row],[Grade]] &amp; "/" &amp; StatusBranchGrade[[#This Row],[Rank]]) &amp; ""</f>
        <v>W-4</v>
      </c>
      <c r="H4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Nat'l Guard  /  Navy  /  W-4</v>
      </c>
      <c r="I443" s="17" t="str">
        <f>SUBSTITUTE(SUBSTITUTE(SUBSTITUTE(StatusBranchGrade[[#This Row],[Status]] &amp; "  /  " &amp; StatusBranchGrade[[#This Row],[Branch]] &amp; ";", "  /  ;", ";"), "  /  ;", ";"), ";", "")</f>
        <v>Full-time Nat'l Guard  /  Navy</v>
      </c>
      <c r="J443">
        <v>12</v>
      </c>
      <c r="K443" s="17" t="str">
        <f>IF(LEFT(StatusBranchGrade[[#This Row],[Which]], 1) = "1", StatusBranchGrade[[#This Row],[Key]], "")</f>
        <v>Full-time Nat'l Guard  /  Navy  /  W-4</v>
      </c>
      <c r="L443" s="17" t="str">
        <f>IF(LEFT(StatusBranchGrade[[#This Row],[Which]], 1) = "1", StatusBranchGrade[[#This Row],[Key0]], "")</f>
        <v>Full-time Nat'l Guard  /  Navy</v>
      </c>
      <c r="M443" s="17" t="str">
        <f>IF(RIGHT(StatusBranchGrade[[#This Row],[Which]], 1) = "2", StatusBranchGrade[[#This Row],[Key]], "")</f>
        <v>Full-time Nat'l Guard  /  Navy  /  W-4</v>
      </c>
      <c r="N443" s="17" t="str">
        <f>IF(RIGHT(StatusBranchGrade[[#This Row],[Which]], 1) = "2", StatusBranchGrade[[#This Row],[Key0]], "")</f>
        <v>Full-time Nat'l Guard  /  Navy</v>
      </c>
      <c r="O443" s="17" t="s">
        <v>301</v>
      </c>
      <c r="P443" s="17"/>
      <c r="Q443" s="63">
        <f>--ISNUMBER(IF(StatusBranchGrade[[#This Row],[Sponsor0]] = 'Calculation Worksheet'!$AV$6 &amp; "  /  " &amp; 'Calculation Worksheet'!$AV$7, 1, ""))</f>
        <v>0</v>
      </c>
      <c r="R443" s="63" t="str">
        <f>IF(StatusBranchGrade[[#This Row],[S1]] = 1, COUNTIF($Q$3:Q443, 1), "")</f>
        <v/>
      </c>
      <c r="S443" s="63" t="str">
        <f>IFERROR(INDEX(StatusBranchGrade[Rank/Grade], MATCH(ROWS($R$3:R443)-1, StatusBranchGrade[S2], 0)), "") &amp; ""</f>
        <v/>
      </c>
      <c r="T443" s="63">
        <f>--ISNUMBER(IF(StatusBranchGrade[[#This Row],[Spouse0]] = 'Calculation Worksheet'!$CG$6 &amp; "  /  " &amp; 'Calculation Worksheet'!$CG$7, 1, ""))</f>
        <v>0</v>
      </c>
      <c r="U443" s="63" t="str">
        <f>IF(StatusBranchGrade[[#This Row],[T1]] = 1, COUNTIF($T$3:T443, 1), "")</f>
        <v/>
      </c>
      <c r="V443" s="63" t="str">
        <f>IFERROR(INDEX(StatusBranchGrade[Rank/Grade], MATCH(ROWS($U$3:U443)-1, StatusBranchGrade[T2], 0)), "") &amp; ""</f>
        <v/>
      </c>
      <c r="W443" s="63"/>
    </row>
    <row r="444" spans="1:23" x14ac:dyDescent="0.25">
      <c r="A444">
        <v>6</v>
      </c>
      <c r="B444" t="s">
        <v>218</v>
      </c>
      <c r="C444" t="s">
        <v>183</v>
      </c>
      <c r="D444" t="s">
        <v>105</v>
      </c>
      <c r="E444" t="str">
        <f>IF(StatusBranchGrade[[#This Row],[Status]] = "CYS", "DoD", StatusBranchGrade[[#This Row],[Rank]] &amp; "")</f>
        <v>E-1</v>
      </c>
      <c r="F444" t="s">
        <v>105</v>
      </c>
      <c r="G444" t="str">
        <f>IF(StatusBranchGrade[[#This Row],[Rank]] = StatusBranchGrade[[#This Row],[Grade]], StatusBranchGrade[[#This Row],[Rank]], StatusBranchGrade[[#This Row],[Grade]] &amp; "/" &amp; StatusBranchGrade[[#This Row],[Rank]]) &amp; ""</f>
        <v>E-1</v>
      </c>
      <c r="H4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E-1</v>
      </c>
      <c r="I444" s="17" t="str">
        <f>SUBSTITUTE(SUBSTITUTE(SUBSTITUTE(StatusBranchGrade[[#This Row],[Status]] &amp; "  /  " &amp; StatusBranchGrade[[#This Row],[Branch]] &amp; ";", "  /  ;", ";"), "  /  ;", ";"), ";", "")</f>
        <v>Full-time Reserve  /  Air Force</v>
      </c>
      <c r="J444">
        <v>12</v>
      </c>
      <c r="K444" s="17" t="str">
        <f>IF(LEFT(StatusBranchGrade[[#This Row],[Which]], 1) = "1", StatusBranchGrade[[#This Row],[Key]], "")</f>
        <v>Full-time Reserve  /  Air Force  /  E-1</v>
      </c>
      <c r="L444" s="17" t="str">
        <f>IF(LEFT(StatusBranchGrade[[#This Row],[Which]], 1) = "1", StatusBranchGrade[[#This Row],[Key0]], "")</f>
        <v>Full-time Reserve  /  Air Force</v>
      </c>
      <c r="M444" s="17" t="str">
        <f>IF(RIGHT(StatusBranchGrade[[#This Row],[Which]], 1) = "2", StatusBranchGrade[[#This Row],[Key]], "")</f>
        <v>Full-time Reserve  /  Air Force  /  E-1</v>
      </c>
      <c r="N444" s="17" t="str">
        <f>IF(RIGHT(StatusBranchGrade[[#This Row],[Which]], 1) = "2", StatusBranchGrade[[#This Row],[Key0]], "")</f>
        <v>Full-time Reserve  /  Air Force</v>
      </c>
      <c r="O444" s="17" t="s">
        <v>301</v>
      </c>
      <c r="P444" s="17"/>
      <c r="Q444" s="63">
        <f>--ISNUMBER(IF(StatusBranchGrade[[#This Row],[Sponsor0]] = 'Calculation Worksheet'!$AV$6 &amp; "  /  " &amp; 'Calculation Worksheet'!$AV$7, 1, ""))</f>
        <v>0</v>
      </c>
      <c r="R444" s="63" t="str">
        <f>IF(StatusBranchGrade[[#This Row],[S1]] = 1, COUNTIF($Q$3:Q444, 1), "")</f>
        <v/>
      </c>
      <c r="S444" s="63" t="str">
        <f>IFERROR(INDEX(StatusBranchGrade[Rank/Grade], MATCH(ROWS($R$3:R444)-1, StatusBranchGrade[S2], 0)), "") &amp; ""</f>
        <v/>
      </c>
      <c r="T444" s="63">
        <f>--ISNUMBER(IF(StatusBranchGrade[[#This Row],[Spouse0]] = 'Calculation Worksheet'!$CG$6 &amp; "  /  " &amp; 'Calculation Worksheet'!$CG$7, 1, ""))</f>
        <v>0</v>
      </c>
      <c r="U444" s="63" t="str">
        <f>IF(StatusBranchGrade[[#This Row],[T1]] = 1, COUNTIF($T$3:T444, 1), "")</f>
        <v/>
      </c>
      <c r="V444" s="63" t="str">
        <f>IFERROR(INDEX(StatusBranchGrade[Rank/Grade], MATCH(ROWS($U$3:U444)-1, StatusBranchGrade[T2], 0)), "") &amp; ""</f>
        <v/>
      </c>
      <c r="W444" s="63"/>
    </row>
    <row r="445" spans="1:23" x14ac:dyDescent="0.25">
      <c r="A445">
        <v>6</v>
      </c>
      <c r="B445" t="s">
        <v>218</v>
      </c>
      <c r="C445" t="s">
        <v>183</v>
      </c>
      <c r="D445" t="s">
        <v>104</v>
      </c>
      <c r="E445" t="str">
        <f>IF(StatusBranchGrade[[#This Row],[Status]] = "CYS", "DoD", StatusBranchGrade[[#This Row],[Rank]] &amp; "")</f>
        <v>E-2</v>
      </c>
      <c r="F445" t="s">
        <v>104</v>
      </c>
      <c r="G445" t="str">
        <f>IF(StatusBranchGrade[[#This Row],[Rank]] = StatusBranchGrade[[#This Row],[Grade]], StatusBranchGrade[[#This Row],[Rank]], StatusBranchGrade[[#This Row],[Grade]] &amp; "/" &amp; StatusBranchGrade[[#This Row],[Rank]]) &amp; ""</f>
        <v>E-2</v>
      </c>
      <c r="H4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E-2</v>
      </c>
      <c r="I445" s="17" t="str">
        <f>SUBSTITUTE(SUBSTITUTE(SUBSTITUTE(StatusBranchGrade[[#This Row],[Status]] &amp; "  /  " &amp; StatusBranchGrade[[#This Row],[Branch]] &amp; ";", "  /  ;", ";"), "  /  ;", ";"), ";", "")</f>
        <v>Full-time Reserve  /  Air Force</v>
      </c>
      <c r="J445">
        <v>12</v>
      </c>
      <c r="K445" s="17" t="str">
        <f>IF(LEFT(StatusBranchGrade[[#This Row],[Which]], 1) = "1", StatusBranchGrade[[#This Row],[Key]], "")</f>
        <v>Full-time Reserve  /  Air Force  /  E-2</v>
      </c>
      <c r="L445" s="17" t="str">
        <f>IF(LEFT(StatusBranchGrade[[#This Row],[Which]], 1) = "1", StatusBranchGrade[[#This Row],[Key0]], "")</f>
        <v>Full-time Reserve  /  Air Force</v>
      </c>
      <c r="M445" s="17" t="str">
        <f>IF(RIGHT(StatusBranchGrade[[#This Row],[Which]], 1) = "2", StatusBranchGrade[[#This Row],[Key]], "")</f>
        <v>Full-time Reserve  /  Air Force  /  E-2</v>
      </c>
      <c r="N445" s="17" t="str">
        <f>IF(RIGHT(StatusBranchGrade[[#This Row],[Which]], 1) = "2", StatusBranchGrade[[#This Row],[Key0]], "")</f>
        <v>Full-time Reserve  /  Air Force</v>
      </c>
      <c r="O445" s="17" t="s">
        <v>301</v>
      </c>
      <c r="P445" s="17"/>
      <c r="Q445" s="63">
        <f>--ISNUMBER(IF(StatusBranchGrade[[#This Row],[Sponsor0]] = 'Calculation Worksheet'!$AV$6 &amp; "  /  " &amp; 'Calculation Worksheet'!$AV$7, 1, ""))</f>
        <v>0</v>
      </c>
      <c r="R445" s="63" t="str">
        <f>IF(StatusBranchGrade[[#This Row],[S1]] = 1, COUNTIF($Q$3:Q445, 1), "")</f>
        <v/>
      </c>
      <c r="S445" s="63" t="str">
        <f>IFERROR(INDEX(StatusBranchGrade[Rank/Grade], MATCH(ROWS($R$3:R445)-1, StatusBranchGrade[S2], 0)), "") &amp; ""</f>
        <v/>
      </c>
      <c r="T445" s="63">
        <f>--ISNUMBER(IF(StatusBranchGrade[[#This Row],[Spouse0]] = 'Calculation Worksheet'!$CG$6 &amp; "  /  " &amp; 'Calculation Worksheet'!$CG$7, 1, ""))</f>
        <v>0</v>
      </c>
      <c r="U445" s="63" t="str">
        <f>IF(StatusBranchGrade[[#This Row],[T1]] = 1, COUNTIF($T$3:T445, 1), "")</f>
        <v/>
      </c>
      <c r="V445" s="63" t="str">
        <f>IFERROR(INDEX(StatusBranchGrade[Rank/Grade], MATCH(ROWS($U$3:U445)-1, StatusBranchGrade[T2], 0)), "") &amp; ""</f>
        <v/>
      </c>
      <c r="W445" s="63"/>
    </row>
    <row r="446" spans="1:23" x14ac:dyDescent="0.25">
      <c r="A446">
        <v>6</v>
      </c>
      <c r="B446" t="s">
        <v>218</v>
      </c>
      <c r="C446" t="s">
        <v>183</v>
      </c>
      <c r="D446" t="s">
        <v>103</v>
      </c>
      <c r="E446" t="str">
        <f>IF(StatusBranchGrade[[#This Row],[Status]] = "CYS", "DoD", StatusBranchGrade[[#This Row],[Rank]] &amp; "")</f>
        <v>E-3</v>
      </c>
      <c r="F446" t="s">
        <v>103</v>
      </c>
      <c r="G446" t="str">
        <f>IF(StatusBranchGrade[[#This Row],[Rank]] = StatusBranchGrade[[#This Row],[Grade]], StatusBranchGrade[[#This Row],[Rank]], StatusBranchGrade[[#This Row],[Grade]] &amp; "/" &amp; StatusBranchGrade[[#This Row],[Rank]]) &amp; ""</f>
        <v>E-3</v>
      </c>
      <c r="H4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E-3</v>
      </c>
      <c r="I446" s="17" t="str">
        <f>SUBSTITUTE(SUBSTITUTE(SUBSTITUTE(StatusBranchGrade[[#This Row],[Status]] &amp; "  /  " &amp; StatusBranchGrade[[#This Row],[Branch]] &amp; ";", "  /  ;", ";"), "  /  ;", ";"), ";", "")</f>
        <v>Full-time Reserve  /  Air Force</v>
      </c>
      <c r="J446">
        <v>12</v>
      </c>
      <c r="K446" s="17" t="str">
        <f>IF(LEFT(StatusBranchGrade[[#This Row],[Which]], 1) = "1", StatusBranchGrade[[#This Row],[Key]], "")</f>
        <v>Full-time Reserve  /  Air Force  /  E-3</v>
      </c>
      <c r="L446" s="17" t="str">
        <f>IF(LEFT(StatusBranchGrade[[#This Row],[Which]], 1) = "1", StatusBranchGrade[[#This Row],[Key0]], "")</f>
        <v>Full-time Reserve  /  Air Force</v>
      </c>
      <c r="M446" s="17" t="str">
        <f>IF(RIGHT(StatusBranchGrade[[#This Row],[Which]], 1) = "2", StatusBranchGrade[[#This Row],[Key]], "")</f>
        <v>Full-time Reserve  /  Air Force  /  E-3</v>
      </c>
      <c r="N446" s="17" t="str">
        <f>IF(RIGHT(StatusBranchGrade[[#This Row],[Which]], 1) = "2", StatusBranchGrade[[#This Row],[Key0]], "")</f>
        <v>Full-time Reserve  /  Air Force</v>
      </c>
      <c r="O446" s="17" t="s">
        <v>301</v>
      </c>
      <c r="P446" s="17"/>
      <c r="Q446" s="63">
        <f>--ISNUMBER(IF(StatusBranchGrade[[#This Row],[Sponsor0]] = 'Calculation Worksheet'!$AV$6 &amp; "  /  " &amp; 'Calculation Worksheet'!$AV$7, 1, ""))</f>
        <v>0</v>
      </c>
      <c r="R446" s="63" t="str">
        <f>IF(StatusBranchGrade[[#This Row],[S1]] = 1, COUNTIF($Q$3:Q446, 1), "")</f>
        <v/>
      </c>
      <c r="S446" s="63" t="str">
        <f>IFERROR(INDEX(StatusBranchGrade[Rank/Grade], MATCH(ROWS($R$3:R446)-1, StatusBranchGrade[S2], 0)), "") &amp; ""</f>
        <v/>
      </c>
      <c r="T446" s="63">
        <f>--ISNUMBER(IF(StatusBranchGrade[[#This Row],[Spouse0]] = 'Calculation Worksheet'!$CG$6 &amp; "  /  " &amp; 'Calculation Worksheet'!$CG$7, 1, ""))</f>
        <v>0</v>
      </c>
      <c r="U446" s="63" t="str">
        <f>IF(StatusBranchGrade[[#This Row],[T1]] = 1, COUNTIF($T$3:T446, 1), "")</f>
        <v/>
      </c>
      <c r="V446" s="63" t="str">
        <f>IFERROR(INDEX(StatusBranchGrade[Rank/Grade], MATCH(ROWS($U$3:U446)-1, StatusBranchGrade[T2], 0)), "") &amp; ""</f>
        <v/>
      </c>
      <c r="W446" s="63"/>
    </row>
    <row r="447" spans="1:23" x14ac:dyDescent="0.25">
      <c r="A447">
        <v>6</v>
      </c>
      <c r="B447" t="s">
        <v>218</v>
      </c>
      <c r="C447" t="s">
        <v>183</v>
      </c>
      <c r="D447" t="s">
        <v>102</v>
      </c>
      <c r="E447" t="str">
        <f>IF(StatusBranchGrade[[#This Row],[Status]] = "CYS", "DoD", StatusBranchGrade[[#This Row],[Rank]] &amp; "")</f>
        <v>E-4</v>
      </c>
      <c r="F447" t="s">
        <v>102</v>
      </c>
      <c r="G447" t="str">
        <f>IF(StatusBranchGrade[[#This Row],[Rank]] = StatusBranchGrade[[#This Row],[Grade]], StatusBranchGrade[[#This Row],[Rank]], StatusBranchGrade[[#This Row],[Grade]] &amp; "/" &amp; StatusBranchGrade[[#This Row],[Rank]]) &amp; ""</f>
        <v>E-4</v>
      </c>
      <c r="H4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E-4</v>
      </c>
      <c r="I447" s="17" t="str">
        <f>SUBSTITUTE(SUBSTITUTE(SUBSTITUTE(StatusBranchGrade[[#This Row],[Status]] &amp; "  /  " &amp; StatusBranchGrade[[#This Row],[Branch]] &amp; ";", "  /  ;", ";"), "  /  ;", ";"), ";", "")</f>
        <v>Full-time Reserve  /  Air Force</v>
      </c>
      <c r="J447">
        <v>12</v>
      </c>
      <c r="K447" s="17" t="str">
        <f>IF(LEFT(StatusBranchGrade[[#This Row],[Which]], 1) = "1", StatusBranchGrade[[#This Row],[Key]], "")</f>
        <v>Full-time Reserve  /  Air Force  /  E-4</v>
      </c>
      <c r="L447" s="17" t="str">
        <f>IF(LEFT(StatusBranchGrade[[#This Row],[Which]], 1) = "1", StatusBranchGrade[[#This Row],[Key0]], "")</f>
        <v>Full-time Reserve  /  Air Force</v>
      </c>
      <c r="M447" s="17" t="str">
        <f>IF(RIGHT(StatusBranchGrade[[#This Row],[Which]], 1) = "2", StatusBranchGrade[[#This Row],[Key]], "")</f>
        <v>Full-time Reserve  /  Air Force  /  E-4</v>
      </c>
      <c r="N447" s="17" t="str">
        <f>IF(RIGHT(StatusBranchGrade[[#This Row],[Which]], 1) = "2", StatusBranchGrade[[#This Row],[Key0]], "")</f>
        <v>Full-time Reserve  /  Air Force</v>
      </c>
      <c r="O447" s="17" t="s">
        <v>301</v>
      </c>
      <c r="P447" s="17"/>
      <c r="Q447" s="63">
        <f>--ISNUMBER(IF(StatusBranchGrade[[#This Row],[Sponsor0]] = 'Calculation Worksheet'!$AV$6 &amp; "  /  " &amp; 'Calculation Worksheet'!$AV$7, 1, ""))</f>
        <v>0</v>
      </c>
      <c r="R447" s="63" t="str">
        <f>IF(StatusBranchGrade[[#This Row],[S1]] = 1, COUNTIF($Q$3:Q447, 1), "")</f>
        <v/>
      </c>
      <c r="S447" s="63" t="str">
        <f>IFERROR(INDEX(StatusBranchGrade[Rank/Grade], MATCH(ROWS($R$3:R447)-1, StatusBranchGrade[S2], 0)), "") &amp; ""</f>
        <v/>
      </c>
      <c r="T447" s="63">
        <f>--ISNUMBER(IF(StatusBranchGrade[[#This Row],[Spouse0]] = 'Calculation Worksheet'!$CG$6 &amp; "  /  " &amp; 'Calculation Worksheet'!$CG$7, 1, ""))</f>
        <v>0</v>
      </c>
      <c r="U447" s="63" t="str">
        <f>IF(StatusBranchGrade[[#This Row],[T1]] = 1, COUNTIF($T$3:T447, 1), "")</f>
        <v/>
      </c>
      <c r="V447" s="63" t="str">
        <f>IFERROR(INDEX(StatusBranchGrade[Rank/Grade], MATCH(ROWS($U$3:U447)-1, StatusBranchGrade[T2], 0)), "") &amp; ""</f>
        <v/>
      </c>
      <c r="W447" s="63"/>
    </row>
    <row r="448" spans="1:23" x14ac:dyDescent="0.25">
      <c r="A448">
        <v>6</v>
      </c>
      <c r="B448" t="s">
        <v>218</v>
      </c>
      <c r="C448" t="s">
        <v>183</v>
      </c>
      <c r="D448" t="s">
        <v>101</v>
      </c>
      <c r="E448" t="str">
        <f>IF(StatusBranchGrade[[#This Row],[Status]] = "CYS", "DoD", StatusBranchGrade[[#This Row],[Rank]] &amp; "")</f>
        <v>E-5</v>
      </c>
      <c r="F448" t="s">
        <v>101</v>
      </c>
      <c r="G448" t="str">
        <f>IF(StatusBranchGrade[[#This Row],[Rank]] = StatusBranchGrade[[#This Row],[Grade]], StatusBranchGrade[[#This Row],[Rank]], StatusBranchGrade[[#This Row],[Grade]] &amp; "/" &amp; StatusBranchGrade[[#This Row],[Rank]]) &amp; ""</f>
        <v>E-5</v>
      </c>
      <c r="H4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E-5</v>
      </c>
      <c r="I448" s="17" t="str">
        <f>SUBSTITUTE(SUBSTITUTE(SUBSTITUTE(StatusBranchGrade[[#This Row],[Status]] &amp; "  /  " &amp; StatusBranchGrade[[#This Row],[Branch]] &amp; ";", "  /  ;", ";"), "  /  ;", ";"), ";", "")</f>
        <v>Full-time Reserve  /  Air Force</v>
      </c>
      <c r="J448">
        <v>12</v>
      </c>
      <c r="K448" s="17" t="str">
        <f>IF(LEFT(StatusBranchGrade[[#This Row],[Which]], 1) = "1", StatusBranchGrade[[#This Row],[Key]], "")</f>
        <v>Full-time Reserve  /  Air Force  /  E-5</v>
      </c>
      <c r="L448" s="17" t="str">
        <f>IF(LEFT(StatusBranchGrade[[#This Row],[Which]], 1) = "1", StatusBranchGrade[[#This Row],[Key0]], "")</f>
        <v>Full-time Reserve  /  Air Force</v>
      </c>
      <c r="M448" s="17" t="str">
        <f>IF(RIGHT(StatusBranchGrade[[#This Row],[Which]], 1) = "2", StatusBranchGrade[[#This Row],[Key]], "")</f>
        <v>Full-time Reserve  /  Air Force  /  E-5</v>
      </c>
      <c r="N448" s="17" t="str">
        <f>IF(RIGHT(StatusBranchGrade[[#This Row],[Which]], 1) = "2", StatusBranchGrade[[#This Row],[Key0]], "")</f>
        <v>Full-time Reserve  /  Air Force</v>
      </c>
      <c r="O448" s="17" t="s">
        <v>301</v>
      </c>
      <c r="P448" s="17"/>
      <c r="Q448" s="63">
        <f>--ISNUMBER(IF(StatusBranchGrade[[#This Row],[Sponsor0]] = 'Calculation Worksheet'!$AV$6 &amp; "  /  " &amp; 'Calculation Worksheet'!$AV$7, 1, ""))</f>
        <v>0</v>
      </c>
      <c r="R448" s="63" t="str">
        <f>IF(StatusBranchGrade[[#This Row],[S1]] = 1, COUNTIF($Q$3:Q448, 1), "")</f>
        <v/>
      </c>
      <c r="S448" s="63" t="str">
        <f>IFERROR(INDEX(StatusBranchGrade[Rank/Grade], MATCH(ROWS($R$3:R448)-1, StatusBranchGrade[S2], 0)), "") &amp; ""</f>
        <v/>
      </c>
      <c r="T448" s="63">
        <f>--ISNUMBER(IF(StatusBranchGrade[[#This Row],[Spouse0]] = 'Calculation Worksheet'!$CG$6 &amp; "  /  " &amp; 'Calculation Worksheet'!$CG$7, 1, ""))</f>
        <v>0</v>
      </c>
      <c r="U448" s="63" t="str">
        <f>IF(StatusBranchGrade[[#This Row],[T1]] = 1, COUNTIF($T$3:T448, 1), "")</f>
        <v/>
      </c>
      <c r="V448" s="63" t="str">
        <f>IFERROR(INDEX(StatusBranchGrade[Rank/Grade], MATCH(ROWS($U$3:U448)-1, StatusBranchGrade[T2], 0)), "") &amp; ""</f>
        <v/>
      </c>
      <c r="W448" s="63"/>
    </row>
    <row r="449" spans="1:23" x14ac:dyDescent="0.25">
      <c r="A449">
        <v>6</v>
      </c>
      <c r="B449" t="s">
        <v>218</v>
      </c>
      <c r="C449" t="s">
        <v>183</v>
      </c>
      <c r="D449" t="s">
        <v>100</v>
      </c>
      <c r="E449" t="str">
        <f>IF(StatusBranchGrade[[#This Row],[Status]] = "CYS", "DoD", StatusBranchGrade[[#This Row],[Rank]] &amp; "")</f>
        <v>E-6</v>
      </c>
      <c r="F449" t="s">
        <v>100</v>
      </c>
      <c r="G449" t="str">
        <f>IF(StatusBranchGrade[[#This Row],[Rank]] = StatusBranchGrade[[#This Row],[Grade]], StatusBranchGrade[[#This Row],[Rank]], StatusBranchGrade[[#This Row],[Grade]] &amp; "/" &amp; StatusBranchGrade[[#This Row],[Rank]]) &amp; ""</f>
        <v>E-6</v>
      </c>
      <c r="H4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E-6</v>
      </c>
      <c r="I449" s="17" t="str">
        <f>SUBSTITUTE(SUBSTITUTE(SUBSTITUTE(StatusBranchGrade[[#This Row],[Status]] &amp; "  /  " &amp; StatusBranchGrade[[#This Row],[Branch]] &amp; ";", "  /  ;", ";"), "  /  ;", ";"), ";", "")</f>
        <v>Full-time Reserve  /  Air Force</v>
      </c>
      <c r="J449">
        <v>12</v>
      </c>
      <c r="K449" s="17" t="str">
        <f>IF(LEFT(StatusBranchGrade[[#This Row],[Which]], 1) = "1", StatusBranchGrade[[#This Row],[Key]], "")</f>
        <v>Full-time Reserve  /  Air Force  /  E-6</v>
      </c>
      <c r="L449" s="17" t="str">
        <f>IF(LEFT(StatusBranchGrade[[#This Row],[Which]], 1) = "1", StatusBranchGrade[[#This Row],[Key0]], "")</f>
        <v>Full-time Reserve  /  Air Force</v>
      </c>
      <c r="M449" s="17" t="str">
        <f>IF(RIGHT(StatusBranchGrade[[#This Row],[Which]], 1) = "2", StatusBranchGrade[[#This Row],[Key]], "")</f>
        <v>Full-time Reserve  /  Air Force  /  E-6</v>
      </c>
      <c r="N449" s="17" t="str">
        <f>IF(RIGHT(StatusBranchGrade[[#This Row],[Which]], 1) = "2", StatusBranchGrade[[#This Row],[Key0]], "")</f>
        <v>Full-time Reserve  /  Air Force</v>
      </c>
      <c r="O449" s="17" t="s">
        <v>301</v>
      </c>
      <c r="P449" s="17"/>
      <c r="Q449" s="63">
        <f>--ISNUMBER(IF(StatusBranchGrade[[#This Row],[Sponsor0]] = 'Calculation Worksheet'!$AV$6 &amp; "  /  " &amp; 'Calculation Worksheet'!$AV$7, 1, ""))</f>
        <v>0</v>
      </c>
      <c r="R449" s="63" t="str">
        <f>IF(StatusBranchGrade[[#This Row],[S1]] = 1, COUNTIF($Q$3:Q449, 1), "")</f>
        <v/>
      </c>
      <c r="S449" s="63" t="str">
        <f>IFERROR(INDEX(StatusBranchGrade[Rank/Grade], MATCH(ROWS($R$3:R449)-1, StatusBranchGrade[S2], 0)), "") &amp; ""</f>
        <v/>
      </c>
      <c r="T449" s="63">
        <f>--ISNUMBER(IF(StatusBranchGrade[[#This Row],[Spouse0]] = 'Calculation Worksheet'!$CG$6 &amp; "  /  " &amp; 'Calculation Worksheet'!$CG$7, 1, ""))</f>
        <v>0</v>
      </c>
      <c r="U449" s="63" t="str">
        <f>IF(StatusBranchGrade[[#This Row],[T1]] = 1, COUNTIF($T$3:T449, 1), "")</f>
        <v/>
      </c>
      <c r="V449" s="63" t="str">
        <f>IFERROR(INDEX(StatusBranchGrade[Rank/Grade], MATCH(ROWS($U$3:U449)-1, StatusBranchGrade[T2], 0)), "") &amp; ""</f>
        <v/>
      </c>
      <c r="W449" s="63"/>
    </row>
    <row r="450" spans="1:23" x14ac:dyDescent="0.25">
      <c r="A450">
        <v>6</v>
      </c>
      <c r="B450" t="s">
        <v>218</v>
      </c>
      <c r="C450" t="s">
        <v>183</v>
      </c>
      <c r="D450" t="s">
        <v>99</v>
      </c>
      <c r="E450" t="str">
        <f>IF(StatusBranchGrade[[#This Row],[Status]] = "CYS", "DoD", StatusBranchGrade[[#This Row],[Rank]] &amp; "")</f>
        <v>E-7</v>
      </c>
      <c r="F450" t="s">
        <v>99</v>
      </c>
      <c r="G450" t="str">
        <f>IF(StatusBranchGrade[[#This Row],[Rank]] = StatusBranchGrade[[#This Row],[Grade]], StatusBranchGrade[[#This Row],[Rank]], StatusBranchGrade[[#This Row],[Grade]] &amp; "/" &amp; StatusBranchGrade[[#This Row],[Rank]]) &amp; ""</f>
        <v>E-7</v>
      </c>
      <c r="H4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E-7</v>
      </c>
      <c r="I450" s="17" t="str">
        <f>SUBSTITUTE(SUBSTITUTE(SUBSTITUTE(StatusBranchGrade[[#This Row],[Status]] &amp; "  /  " &amp; StatusBranchGrade[[#This Row],[Branch]] &amp; ";", "  /  ;", ";"), "  /  ;", ";"), ";", "")</f>
        <v>Full-time Reserve  /  Air Force</v>
      </c>
      <c r="J450">
        <v>12</v>
      </c>
      <c r="K450" s="17" t="str">
        <f>IF(LEFT(StatusBranchGrade[[#This Row],[Which]], 1) = "1", StatusBranchGrade[[#This Row],[Key]], "")</f>
        <v>Full-time Reserve  /  Air Force  /  E-7</v>
      </c>
      <c r="L450" s="17" t="str">
        <f>IF(LEFT(StatusBranchGrade[[#This Row],[Which]], 1) = "1", StatusBranchGrade[[#This Row],[Key0]], "")</f>
        <v>Full-time Reserve  /  Air Force</v>
      </c>
      <c r="M450" s="17" t="str">
        <f>IF(RIGHT(StatusBranchGrade[[#This Row],[Which]], 1) = "2", StatusBranchGrade[[#This Row],[Key]], "")</f>
        <v>Full-time Reserve  /  Air Force  /  E-7</v>
      </c>
      <c r="N450" s="17" t="str">
        <f>IF(RIGHT(StatusBranchGrade[[#This Row],[Which]], 1) = "2", StatusBranchGrade[[#This Row],[Key0]], "")</f>
        <v>Full-time Reserve  /  Air Force</v>
      </c>
      <c r="O450" s="17" t="s">
        <v>301</v>
      </c>
      <c r="P450" s="17"/>
      <c r="Q450" s="63">
        <f>--ISNUMBER(IF(StatusBranchGrade[[#This Row],[Sponsor0]] = 'Calculation Worksheet'!$AV$6 &amp; "  /  " &amp; 'Calculation Worksheet'!$AV$7, 1, ""))</f>
        <v>0</v>
      </c>
      <c r="R450" s="63" t="str">
        <f>IF(StatusBranchGrade[[#This Row],[S1]] = 1, COUNTIF($Q$3:Q450, 1), "")</f>
        <v/>
      </c>
      <c r="S450" s="63" t="str">
        <f>IFERROR(INDEX(StatusBranchGrade[Rank/Grade], MATCH(ROWS($R$3:R450)-1, StatusBranchGrade[S2], 0)), "") &amp; ""</f>
        <v/>
      </c>
      <c r="T450" s="63">
        <f>--ISNUMBER(IF(StatusBranchGrade[[#This Row],[Spouse0]] = 'Calculation Worksheet'!$CG$6 &amp; "  /  " &amp; 'Calculation Worksheet'!$CG$7, 1, ""))</f>
        <v>0</v>
      </c>
      <c r="U450" s="63" t="str">
        <f>IF(StatusBranchGrade[[#This Row],[T1]] = 1, COUNTIF($T$3:T450, 1), "")</f>
        <v/>
      </c>
      <c r="V450" s="63" t="str">
        <f>IFERROR(INDEX(StatusBranchGrade[Rank/Grade], MATCH(ROWS($U$3:U450)-1, StatusBranchGrade[T2], 0)), "") &amp; ""</f>
        <v/>
      </c>
      <c r="W450" s="63"/>
    </row>
    <row r="451" spans="1:23" x14ac:dyDescent="0.25">
      <c r="A451">
        <v>6</v>
      </c>
      <c r="B451" t="s">
        <v>218</v>
      </c>
      <c r="C451" t="s">
        <v>183</v>
      </c>
      <c r="D451" t="s">
        <v>98</v>
      </c>
      <c r="E451" t="str">
        <f>IF(StatusBranchGrade[[#This Row],[Status]] = "CYS", "DoD", StatusBranchGrade[[#This Row],[Rank]] &amp; "")</f>
        <v>E-8</v>
      </c>
      <c r="F451" t="s">
        <v>98</v>
      </c>
      <c r="G451" t="str">
        <f>IF(StatusBranchGrade[[#This Row],[Rank]] = StatusBranchGrade[[#This Row],[Grade]], StatusBranchGrade[[#This Row],[Rank]], StatusBranchGrade[[#This Row],[Grade]] &amp; "/" &amp; StatusBranchGrade[[#This Row],[Rank]]) &amp; ""</f>
        <v>E-8</v>
      </c>
      <c r="H4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E-8</v>
      </c>
      <c r="I451" s="17" t="str">
        <f>SUBSTITUTE(SUBSTITUTE(SUBSTITUTE(StatusBranchGrade[[#This Row],[Status]] &amp; "  /  " &amp; StatusBranchGrade[[#This Row],[Branch]] &amp; ";", "  /  ;", ";"), "  /  ;", ";"), ";", "")</f>
        <v>Full-time Reserve  /  Air Force</v>
      </c>
      <c r="J451">
        <v>12</v>
      </c>
      <c r="K451" s="17" t="str">
        <f>IF(LEFT(StatusBranchGrade[[#This Row],[Which]], 1) = "1", StatusBranchGrade[[#This Row],[Key]], "")</f>
        <v>Full-time Reserve  /  Air Force  /  E-8</v>
      </c>
      <c r="L451" s="17" t="str">
        <f>IF(LEFT(StatusBranchGrade[[#This Row],[Which]], 1) = "1", StatusBranchGrade[[#This Row],[Key0]], "")</f>
        <v>Full-time Reserve  /  Air Force</v>
      </c>
      <c r="M451" s="17" t="str">
        <f>IF(RIGHT(StatusBranchGrade[[#This Row],[Which]], 1) = "2", StatusBranchGrade[[#This Row],[Key]], "")</f>
        <v>Full-time Reserve  /  Air Force  /  E-8</v>
      </c>
      <c r="N451" s="17" t="str">
        <f>IF(RIGHT(StatusBranchGrade[[#This Row],[Which]], 1) = "2", StatusBranchGrade[[#This Row],[Key0]], "")</f>
        <v>Full-time Reserve  /  Air Force</v>
      </c>
      <c r="O451" s="17" t="s">
        <v>301</v>
      </c>
      <c r="P451" s="17"/>
      <c r="Q451" s="63">
        <f>--ISNUMBER(IF(StatusBranchGrade[[#This Row],[Sponsor0]] = 'Calculation Worksheet'!$AV$6 &amp; "  /  " &amp; 'Calculation Worksheet'!$AV$7, 1, ""))</f>
        <v>0</v>
      </c>
      <c r="R451" s="63" t="str">
        <f>IF(StatusBranchGrade[[#This Row],[S1]] = 1, COUNTIF($Q$3:Q451, 1), "")</f>
        <v/>
      </c>
      <c r="S451" s="63" t="str">
        <f>IFERROR(INDEX(StatusBranchGrade[Rank/Grade], MATCH(ROWS($R$3:R451)-1, StatusBranchGrade[S2], 0)), "") &amp; ""</f>
        <v/>
      </c>
      <c r="T451" s="63">
        <f>--ISNUMBER(IF(StatusBranchGrade[[#This Row],[Spouse0]] = 'Calculation Worksheet'!$CG$6 &amp; "  /  " &amp; 'Calculation Worksheet'!$CG$7, 1, ""))</f>
        <v>0</v>
      </c>
      <c r="U451" s="63" t="str">
        <f>IF(StatusBranchGrade[[#This Row],[T1]] = 1, COUNTIF($T$3:T451, 1), "")</f>
        <v/>
      </c>
      <c r="V451" s="63" t="str">
        <f>IFERROR(INDEX(StatusBranchGrade[Rank/Grade], MATCH(ROWS($U$3:U451)-1, StatusBranchGrade[T2], 0)), "") &amp; ""</f>
        <v/>
      </c>
      <c r="W451" s="63"/>
    </row>
    <row r="452" spans="1:23" x14ac:dyDescent="0.25">
      <c r="A452">
        <v>6</v>
      </c>
      <c r="B452" t="s">
        <v>218</v>
      </c>
      <c r="C452" t="s">
        <v>183</v>
      </c>
      <c r="D452" t="s">
        <v>97</v>
      </c>
      <c r="E452" t="str">
        <f>IF(StatusBranchGrade[[#This Row],[Status]] = "CYS", "DoD", StatusBranchGrade[[#This Row],[Rank]] &amp; "")</f>
        <v>E-9</v>
      </c>
      <c r="F452" t="s">
        <v>97</v>
      </c>
      <c r="G452" t="str">
        <f>IF(StatusBranchGrade[[#This Row],[Rank]] = StatusBranchGrade[[#This Row],[Grade]], StatusBranchGrade[[#This Row],[Rank]], StatusBranchGrade[[#This Row],[Grade]] &amp; "/" &amp; StatusBranchGrade[[#This Row],[Rank]]) &amp; ""</f>
        <v>E-9</v>
      </c>
      <c r="H4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E-9</v>
      </c>
      <c r="I452" s="17" t="str">
        <f>SUBSTITUTE(SUBSTITUTE(SUBSTITUTE(StatusBranchGrade[[#This Row],[Status]] &amp; "  /  " &amp; StatusBranchGrade[[#This Row],[Branch]] &amp; ";", "  /  ;", ";"), "  /  ;", ";"), ";", "")</f>
        <v>Full-time Reserve  /  Air Force</v>
      </c>
      <c r="J452">
        <v>12</v>
      </c>
      <c r="K452" s="17" t="str">
        <f>IF(LEFT(StatusBranchGrade[[#This Row],[Which]], 1) = "1", StatusBranchGrade[[#This Row],[Key]], "")</f>
        <v>Full-time Reserve  /  Air Force  /  E-9</v>
      </c>
      <c r="L452" s="17" t="str">
        <f>IF(LEFT(StatusBranchGrade[[#This Row],[Which]], 1) = "1", StatusBranchGrade[[#This Row],[Key0]], "")</f>
        <v>Full-time Reserve  /  Air Force</v>
      </c>
      <c r="M452" s="17" t="str">
        <f>IF(RIGHT(StatusBranchGrade[[#This Row],[Which]], 1) = "2", StatusBranchGrade[[#This Row],[Key]], "")</f>
        <v>Full-time Reserve  /  Air Force  /  E-9</v>
      </c>
      <c r="N452" s="17" t="str">
        <f>IF(RIGHT(StatusBranchGrade[[#This Row],[Which]], 1) = "2", StatusBranchGrade[[#This Row],[Key0]], "")</f>
        <v>Full-time Reserve  /  Air Force</v>
      </c>
      <c r="O452" s="17" t="s">
        <v>301</v>
      </c>
      <c r="P452" s="17"/>
      <c r="Q452" s="63">
        <f>--ISNUMBER(IF(StatusBranchGrade[[#This Row],[Sponsor0]] = 'Calculation Worksheet'!$AV$6 &amp; "  /  " &amp; 'Calculation Worksheet'!$AV$7, 1, ""))</f>
        <v>0</v>
      </c>
      <c r="R452" s="63" t="str">
        <f>IF(StatusBranchGrade[[#This Row],[S1]] = 1, COUNTIF($Q$3:Q452, 1), "")</f>
        <v/>
      </c>
      <c r="S452" s="63" t="str">
        <f>IFERROR(INDEX(StatusBranchGrade[Rank/Grade], MATCH(ROWS($R$3:R452)-1, StatusBranchGrade[S2], 0)), "") &amp; ""</f>
        <v/>
      </c>
      <c r="T452" s="63">
        <f>--ISNUMBER(IF(StatusBranchGrade[[#This Row],[Spouse0]] = 'Calculation Worksheet'!$CG$6 &amp; "  /  " &amp; 'Calculation Worksheet'!$CG$7, 1, ""))</f>
        <v>0</v>
      </c>
      <c r="U452" s="63" t="str">
        <f>IF(StatusBranchGrade[[#This Row],[T1]] = 1, COUNTIF($T$3:T452, 1), "")</f>
        <v/>
      </c>
      <c r="V452" s="63" t="str">
        <f>IFERROR(INDEX(StatusBranchGrade[Rank/Grade], MATCH(ROWS($U$3:U452)-1, StatusBranchGrade[T2], 0)), "") &amp; ""</f>
        <v/>
      </c>
      <c r="W452" s="63"/>
    </row>
    <row r="453" spans="1:23" x14ac:dyDescent="0.25">
      <c r="A453">
        <v>6</v>
      </c>
      <c r="B453" t="s">
        <v>218</v>
      </c>
      <c r="C453" t="s">
        <v>183</v>
      </c>
      <c r="D453" t="s">
        <v>91</v>
      </c>
      <c r="E453" t="str">
        <f>IF(StatusBranchGrade[[#This Row],[Status]] = "CYS", "DoD", StatusBranchGrade[[#This Row],[Rank]] &amp; "")</f>
        <v>O-1</v>
      </c>
      <c r="F453" t="s">
        <v>91</v>
      </c>
      <c r="G453" t="str">
        <f>IF(StatusBranchGrade[[#This Row],[Rank]] = StatusBranchGrade[[#This Row],[Grade]], StatusBranchGrade[[#This Row],[Rank]], StatusBranchGrade[[#This Row],[Grade]] &amp; "/" &amp; StatusBranchGrade[[#This Row],[Rank]]) &amp; ""</f>
        <v>O-1</v>
      </c>
      <c r="H4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O-1</v>
      </c>
      <c r="I453" s="17" t="str">
        <f>SUBSTITUTE(SUBSTITUTE(SUBSTITUTE(StatusBranchGrade[[#This Row],[Status]] &amp; "  /  " &amp; StatusBranchGrade[[#This Row],[Branch]] &amp; ";", "  /  ;", ";"), "  /  ;", ";"), ";", "")</f>
        <v>Full-time Reserve  /  Air Force</v>
      </c>
      <c r="J453">
        <v>12</v>
      </c>
      <c r="K453" s="17" t="str">
        <f>IF(LEFT(StatusBranchGrade[[#This Row],[Which]], 1) = "1", StatusBranchGrade[[#This Row],[Key]], "")</f>
        <v>Full-time Reserve  /  Air Force  /  O-1</v>
      </c>
      <c r="L453" s="17" t="str">
        <f>IF(LEFT(StatusBranchGrade[[#This Row],[Which]], 1) = "1", StatusBranchGrade[[#This Row],[Key0]], "")</f>
        <v>Full-time Reserve  /  Air Force</v>
      </c>
      <c r="M453" s="17" t="str">
        <f>IF(RIGHT(StatusBranchGrade[[#This Row],[Which]], 1) = "2", StatusBranchGrade[[#This Row],[Key]], "")</f>
        <v>Full-time Reserve  /  Air Force  /  O-1</v>
      </c>
      <c r="N453" s="17" t="str">
        <f>IF(RIGHT(StatusBranchGrade[[#This Row],[Which]], 1) = "2", StatusBranchGrade[[#This Row],[Key0]], "")</f>
        <v>Full-time Reserve  /  Air Force</v>
      </c>
      <c r="O453" s="17" t="s">
        <v>301</v>
      </c>
      <c r="P453" s="17"/>
      <c r="Q453" s="63">
        <f>--ISNUMBER(IF(StatusBranchGrade[[#This Row],[Sponsor0]] = 'Calculation Worksheet'!$AV$6 &amp; "  /  " &amp; 'Calculation Worksheet'!$AV$7, 1, ""))</f>
        <v>0</v>
      </c>
      <c r="R453" s="63" t="str">
        <f>IF(StatusBranchGrade[[#This Row],[S1]] = 1, COUNTIF($Q$3:Q453, 1), "")</f>
        <v/>
      </c>
      <c r="S453" s="63" t="str">
        <f>IFERROR(INDEX(StatusBranchGrade[Rank/Grade], MATCH(ROWS($R$3:R453)-1, StatusBranchGrade[S2], 0)), "") &amp; ""</f>
        <v/>
      </c>
      <c r="T453" s="63">
        <f>--ISNUMBER(IF(StatusBranchGrade[[#This Row],[Spouse0]] = 'Calculation Worksheet'!$CG$6 &amp; "  /  " &amp; 'Calculation Worksheet'!$CG$7, 1, ""))</f>
        <v>0</v>
      </c>
      <c r="U453" s="63" t="str">
        <f>IF(StatusBranchGrade[[#This Row],[T1]] = 1, COUNTIF($T$3:T453, 1), "")</f>
        <v/>
      </c>
      <c r="V453" s="63" t="str">
        <f>IFERROR(INDEX(StatusBranchGrade[Rank/Grade], MATCH(ROWS($U$3:U453)-1, StatusBranchGrade[T2], 0)), "") &amp; ""</f>
        <v/>
      </c>
      <c r="W453" s="63"/>
    </row>
    <row r="454" spans="1:23" x14ac:dyDescent="0.25">
      <c r="A454">
        <v>6</v>
      </c>
      <c r="B454" t="s">
        <v>218</v>
      </c>
      <c r="C454" t="s">
        <v>183</v>
      </c>
      <c r="D454" s="75" t="s">
        <v>10</v>
      </c>
      <c r="E454" s="75" t="str">
        <f>IF(StatusBranchGrade[[#This Row],[Status]] = "CYS", "DoD", StatusBranchGrade[[#This Row],[Rank]] &amp; "")</f>
        <v>O1E</v>
      </c>
      <c r="F454" s="75" t="s">
        <v>91</v>
      </c>
      <c r="G454" s="75" t="str">
        <f>IF(StatusBranchGrade[[#This Row],[Rank]] = StatusBranchGrade[[#This Row],[Grade]], StatusBranchGrade[[#This Row],[Rank]], StatusBranchGrade[[#This Row],[Grade]] &amp; "/" &amp; StatusBranchGrade[[#This Row],[Rank]]) &amp; ""</f>
        <v>O-1/O1E</v>
      </c>
      <c r="H4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O-1/O1E</v>
      </c>
      <c r="I454" s="17" t="str">
        <f>SUBSTITUTE(SUBSTITUTE(SUBSTITUTE(StatusBranchGrade[[#This Row],[Status]] &amp; "  /  " &amp; StatusBranchGrade[[#This Row],[Branch]] &amp; ";", "  /  ;", ";"), "  /  ;", ";"), ";", "")</f>
        <v>Full-time Reserve  /  Air Force</v>
      </c>
      <c r="J454">
        <v>12</v>
      </c>
      <c r="K454" s="17" t="str">
        <f>IF(LEFT(StatusBranchGrade[[#This Row],[Which]], 1) = "1", StatusBranchGrade[[#This Row],[Key]], "")</f>
        <v>Full-time Reserve  /  Air Force  /  O-1/O1E</v>
      </c>
      <c r="L454" s="17" t="str">
        <f>IF(LEFT(StatusBranchGrade[[#This Row],[Which]], 1) = "1", StatusBranchGrade[[#This Row],[Key0]], "")</f>
        <v>Full-time Reserve  /  Air Force</v>
      </c>
      <c r="M454" s="17" t="str">
        <f>IF(RIGHT(StatusBranchGrade[[#This Row],[Which]], 1) = "2", StatusBranchGrade[[#This Row],[Key]], "")</f>
        <v>Full-time Reserve  /  Air Force  /  O-1/O1E</v>
      </c>
      <c r="N454" s="17" t="str">
        <f>IF(RIGHT(StatusBranchGrade[[#This Row],[Which]], 1) = "2", StatusBranchGrade[[#This Row],[Key0]], "")</f>
        <v>Full-time Reserve  /  Air Force</v>
      </c>
      <c r="O454" s="17" t="s">
        <v>301</v>
      </c>
      <c r="P454" s="17"/>
      <c r="Q454" s="63">
        <f>--ISNUMBER(IF(StatusBranchGrade[[#This Row],[Sponsor0]] = 'Calculation Worksheet'!$AV$6 &amp; "  /  " &amp; 'Calculation Worksheet'!$AV$7, 1, ""))</f>
        <v>0</v>
      </c>
      <c r="R454" s="63" t="str">
        <f>IF(StatusBranchGrade[[#This Row],[S1]] = 1, COUNTIF($Q$3:Q454, 1), "")</f>
        <v/>
      </c>
      <c r="S454" s="63" t="str">
        <f>IFERROR(INDEX(StatusBranchGrade[Rank/Grade], MATCH(ROWS($R$3:R454)-1, StatusBranchGrade[S2], 0)), "") &amp; ""</f>
        <v/>
      </c>
      <c r="T454" s="63">
        <f>--ISNUMBER(IF(StatusBranchGrade[[#This Row],[Spouse0]] = 'Calculation Worksheet'!$CG$6 &amp; "  /  " &amp; 'Calculation Worksheet'!$CG$7, 1, ""))</f>
        <v>0</v>
      </c>
      <c r="U454" s="63" t="str">
        <f>IF(StatusBranchGrade[[#This Row],[T1]] = 1, COUNTIF($T$3:T454, 1), "")</f>
        <v/>
      </c>
      <c r="V454" s="63" t="str">
        <f>IFERROR(INDEX(StatusBranchGrade[Rank/Grade], MATCH(ROWS($U$3:U454)-1, StatusBranchGrade[T2], 0)), "") &amp; ""</f>
        <v/>
      </c>
      <c r="W454" s="63"/>
    </row>
    <row r="455" spans="1:23" x14ac:dyDescent="0.25">
      <c r="A455">
        <v>6</v>
      </c>
      <c r="B455" t="s">
        <v>218</v>
      </c>
      <c r="C455" t="s">
        <v>183</v>
      </c>
      <c r="D455" t="s">
        <v>82</v>
      </c>
      <c r="E455" t="str">
        <f>IF(StatusBranchGrade[[#This Row],[Status]] = "CYS", "DoD", StatusBranchGrade[[#This Row],[Rank]] &amp; "")</f>
        <v>O-10</v>
      </c>
      <c r="F455" t="s">
        <v>82</v>
      </c>
      <c r="G455" t="str">
        <f>IF(StatusBranchGrade[[#This Row],[Rank]] = StatusBranchGrade[[#This Row],[Grade]], StatusBranchGrade[[#This Row],[Rank]], StatusBranchGrade[[#This Row],[Grade]] &amp; "/" &amp; StatusBranchGrade[[#This Row],[Rank]]) &amp; ""</f>
        <v>O-10</v>
      </c>
      <c r="H4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O-10</v>
      </c>
      <c r="I455" s="17" t="str">
        <f>SUBSTITUTE(SUBSTITUTE(SUBSTITUTE(StatusBranchGrade[[#This Row],[Status]] &amp; "  /  " &amp; StatusBranchGrade[[#This Row],[Branch]] &amp; ";", "  /  ;", ";"), "  /  ;", ";"), ";", "")</f>
        <v>Full-time Reserve  /  Air Force</v>
      </c>
      <c r="J455">
        <v>12</v>
      </c>
      <c r="K455" s="17" t="str">
        <f>IF(LEFT(StatusBranchGrade[[#This Row],[Which]], 1) = "1", StatusBranchGrade[[#This Row],[Key]], "")</f>
        <v>Full-time Reserve  /  Air Force  /  O-10</v>
      </c>
      <c r="L455" s="17" t="str">
        <f>IF(LEFT(StatusBranchGrade[[#This Row],[Which]], 1) = "1", StatusBranchGrade[[#This Row],[Key0]], "")</f>
        <v>Full-time Reserve  /  Air Force</v>
      </c>
      <c r="M455" s="17" t="str">
        <f>IF(RIGHT(StatusBranchGrade[[#This Row],[Which]], 1) = "2", StatusBranchGrade[[#This Row],[Key]], "")</f>
        <v>Full-time Reserve  /  Air Force  /  O-10</v>
      </c>
      <c r="N455" s="17" t="str">
        <f>IF(RIGHT(StatusBranchGrade[[#This Row],[Which]], 1) = "2", StatusBranchGrade[[#This Row],[Key0]], "")</f>
        <v>Full-time Reserve  /  Air Force</v>
      </c>
      <c r="O455" s="17" t="s">
        <v>301</v>
      </c>
      <c r="P455" s="17"/>
      <c r="Q455" s="63">
        <f>--ISNUMBER(IF(StatusBranchGrade[[#This Row],[Sponsor0]] = 'Calculation Worksheet'!$AV$6 &amp; "  /  " &amp; 'Calculation Worksheet'!$AV$7, 1, ""))</f>
        <v>0</v>
      </c>
      <c r="R455" s="63" t="str">
        <f>IF(StatusBranchGrade[[#This Row],[S1]] = 1, COUNTIF($Q$3:Q455, 1), "")</f>
        <v/>
      </c>
      <c r="S455" s="63" t="str">
        <f>IFERROR(INDEX(StatusBranchGrade[Rank/Grade], MATCH(ROWS($R$3:R455)-1, StatusBranchGrade[S2], 0)), "") &amp; ""</f>
        <v/>
      </c>
      <c r="T455" s="63">
        <f>--ISNUMBER(IF(StatusBranchGrade[[#This Row],[Spouse0]] = 'Calculation Worksheet'!$CG$6 &amp; "  /  " &amp; 'Calculation Worksheet'!$CG$7, 1, ""))</f>
        <v>0</v>
      </c>
      <c r="U455" s="63" t="str">
        <f>IF(StatusBranchGrade[[#This Row],[T1]] = 1, COUNTIF($T$3:T455, 1), "")</f>
        <v/>
      </c>
      <c r="V455" s="63" t="str">
        <f>IFERROR(INDEX(StatusBranchGrade[Rank/Grade], MATCH(ROWS($U$3:U455)-1, StatusBranchGrade[T2], 0)), "") &amp; ""</f>
        <v/>
      </c>
      <c r="W455" s="63"/>
    </row>
    <row r="456" spans="1:23" x14ac:dyDescent="0.25">
      <c r="A456">
        <v>6</v>
      </c>
      <c r="B456" t="s">
        <v>218</v>
      </c>
      <c r="C456" t="s">
        <v>183</v>
      </c>
      <c r="D456" t="s">
        <v>90</v>
      </c>
      <c r="E456" t="str">
        <f>IF(StatusBranchGrade[[#This Row],[Status]] = "CYS", "DoD", StatusBranchGrade[[#This Row],[Rank]] &amp; "")</f>
        <v>O-2</v>
      </c>
      <c r="F456" t="s">
        <v>90</v>
      </c>
      <c r="G456" t="str">
        <f>IF(StatusBranchGrade[[#This Row],[Rank]] = StatusBranchGrade[[#This Row],[Grade]], StatusBranchGrade[[#This Row],[Rank]], StatusBranchGrade[[#This Row],[Grade]] &amp; "/" &amp; StatusBranchGrade[[#This Row],[Rank]]) &amp; ""</f>
        <v>O-2</v>
      </c>
      <c r="H4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O-2</v>
      </c>
      <c r="I456" s="17" t="str">
        <f>SUBSTITUTE(SUBSTITUTE(SUBSTITUTE(StatusBranchGrade[[#This Row],[Status]] &amp; "  /  " &amp; StatusBranchGrade[[#This Row],[Branch]] &amp; ";", "  /  ;", ";"), "  /  ;", ";"), ";", "")</f>
        <v>Full-time Reserve  /  Air Force</v>
      </c>
      <c r="J456">
        <v>12</v>
      </c>
      <c r="K456" s="17" t="str">
        <f>IF(LEFT(StatusBranchGrade[[#This Row],[Which]], 1) = "1", StatusBranchGrade[[#This Row],[Key]], "")</f>
        <v>Full-time Reserve  /  Air Force  /  O-2</v>
      </c>
      <c r="L456" s="17" t="str">
        <f>IF(LEFT(StatusBranchGrade[[#This Row],[Which]], 1) = "1", StatusBranchGrade[[#This Row],[Key0]], "")</f>
        <v>Full-time Reserve  /  Air Force</v>
      </c>
      <c r="M456" s="17" t="str">
        <f>IF(RIGHT(StatusBranchGrade[[#This Row],[Which]], 1) = "2", StatusBranchGrade[[#This Row],[Key]], "")</f>
        <v>Full-time Reserve  /  Air Force  /  O-2</v>
      </c>
      <c r="N456" s="17" t="str">
        <f>IF(RIGHT(StatusBranchGrade[[#This Row],[Which]], 1) = "2", StatusBranchGrade[[#This Row],[Key0]], "")</f>
        <v>Full-time Reserve  /  Air Force</v>
      </c>
      <c r="O456" s="17" t="s">
        <v>301</v>
      </c>
      <c r="P456" s="17"/>
      <c r="Q456" s="63">
        <f>--ISNUMBER(IF(StatusBranchGrade[[#This Row],[Sponsor0]] = 'Calculation Worksheet'!$AV$6 &amp; "  /  " &amp; 'Calculation Worksheet'!$AV$7, 1, ""))</f>
        <v>0</v>
      </c>
      <c r="R456" s="63" t="str">
        <f>IF(StatusBranchGrade[[#This Row],[S1]] = 1, COUNTIF($Q$3:Q456, 1), "")</f>
        <v/>
      </c>
      <c r="S456" s="63" t="str">
        <f>IFERROR(INDEX(StatusBranchGrade[Rank/Grade], MATCH(ROWS($R$3:R456)-1, StatusBranchGrade[S2], 0)), "") &amp; ""</f>
        <v/>
      </c>
      <c r="T456" s="63">
        <f>--ISNUMBER(IF(StatusBranchGrade[[#This Row],[Spouse0]] = 'Calculation Worksheet'!$CG$6 &amp; "  /  " &amp; 'Calculation Worksheet'!$CG$7, 1, ""))</f>
        <v>0</v>
      </c>
      <c r="U456" s="63" t="str">
        <f>IF(StatusBranchGrade[[#This Row],[T1]] = 1, COUNTIF($T$3:T456, 1), "")</f>
        <v/>
      </c>
      <c r="V456" s="63" t="str">
        <f>IFERROR(INDEX(StatusBranchGrade[Rank/Grade], MATCH(ROWS($U$3:U456)-1, StatusBranchGrade[T2], 0)), "") &amp; ""</f>
        <v/>
      </c>
      <c r="W456" s="63"/>
    </row>
    <row r="457" spans="1:23" x14ac:dyDescent="0.25">
      <c r="A457">
        <v>6</v>
      </c>
      <c r="B457" t="s">
        <v>218</v>
      </c>
      <c r="C457" t="s">
        <v>183</v>
      </c>
      <c r="D457" s="75" t="s">
        <v>11</v>
      </c>
      <c r="E457" s="75" t="str">
        <f>IF(StatusBranchGrade[[#This Row],[Status]] = "CYS", "DoD", StatusBranchGrade[[#This Row],[Rank]] &amp; "")</f>
        <v>O2E</v>
      </c>
      <c r="F457" s="75" t="s">
        <v>90</v>
      </c>
      <c r="G457" s="75" t="str">
        <f>IF(StatusBranchGrade[[#This Row],[Rank]] = StatusBranchGrade[[#This Row],[Grade]], StatusBranchGrade[[#This Row],[Rank]], StatusBranchGrade[[#This Row],[Grade]] &amp; "/" &amp; StatusBranchGrade[[#This Row],[Rank]]) &amp; ""</f>
        <v>O-2/O2E</v>
      </c>
      <c r="H4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O-2/O2E</v>
      </c>
      <c r="I457" s="17" t="str">
        <f>SUBSTITUTE(SUBSTITUTE(SUBSTITUTE(StatusBranchGrade[[#This Row],[Status]] &amp; "  /  " &amp; StatusBranchGrade[[#This Row],[Branch]] &amp; ";", "  /  ;", ";"), "  /  ;", ";"), ";", "")</f>
        <v>Full-time Reserve  /  Air Force</v>
      </c>
      <c r="J457">
        <v>12</v>
      </c>
      <c r="K457" s="17" t="str">
        <f>IF(LEFT(StatusBranchGrade[[#This Row],[Which]], 1) = "1", StatusBranchGrade[[#This Row],[Key]], "")</f>
        <v>Full-time Reserve  /  Air Force  /  O-2/O2E</v>
      </c>
      <c r="L457" s="17" t="str">
        <f>IF(LEFT(StatusBranchGrade[[#This Row],[Which]], 1) = "1", StatusBranchGrade[[#This Row],[Key0]], "")</f>
        <v>Full-time Reserve  /  Air Force</v>
      </c>
      <c r="M457" s="17" t="str">
        <f>IF(RIGHT(StatusBranchGrade[[#This Row],[Which]], 1) = "2", StatusBranchGrade[[#This Row],[Key]], "")</f>
        <v>Full-time Reserve  /  Air Force  /  O-2/O2E</v>
      </c>
      <c r="N457" s="17" t="str">
        <f>IF(RIGHT(StatusBranchGrade[[#This Row],[Which]], 1) = "2", StatusBranchGrade[[#This Row],[Key0]], "")</f>
        <v>Full-time Reserve  /  Air Force</v>
      </c>
      <c r="O457" s="17" t="s">
        <v>301</v>
      </c>
      <c r="P457" s="17"/>
      <c r="Q457" s="63">
        <f>--ISNUMBER(IF(StatusBranchGrade[[#This Row],[Sponsor0]] = 'Calculation Worksheet'!$AV$6 &amp; "  /  " &amp; 'Calculation Worksheet'!$AV$7, 1, ""))</f>
        <v>0</v>
      </c>
      <c r="R457" s="63" t="str">
        <f>IF(StatusBranchGrade[[#This Row],[S1]] = 1, COUNTIF($Q$3:Q457, 1), "")</f>
        <v/>
      </c>
      <c r="S457" s="63" t="str">
        <f>IFERROR(INDEX(StatusBranchGrade[Rank/Grade], MATCH(ROWS($R$3:R457)-1, StatusBranchGrade[S2], 0)), "") &amp; ""</f>
        <v/>
      </c>
      <c r="T457" s="63">
        <f>--ISNUMBER(IF(StatusBranchGrade[[#This Row],[Spouse0]] = 'Calculation Worksheet'!$CG$6 &amp; "  /  " &amp; 'Calculation Worksheet'!$CG$7, 1, ""))</f>
        <v>0</v>
      </c>
      <c r="U457" s="63" t="str">
        <f>IF(StatusBranchGrade[[#This Row],[T1]] = 1, COUNTIF($T$3:T457, 1), "")</f>
        <v/>
      </c>
      <c r="V457" s="63" t="str">
        <f>IFERROR(INDEX(StatusBranchGrade[Rank/Grade], MATCH(ROWS($U$3:U457)-1, StatusBranchGrade[T2], 0)), "") &amp; ""</f>
        <v/>
      </c>
      <c r="W457" s="63"/>
    </row>
    <row r="458" spans="1:23" x14ac:dyDescent="0.25">
      <c r="A458">
        <v>6</v>
      </c>
      <c r="B458" t="s">
        <v>218</v>
      </c>
      <c r="C458" t="s">
        <v>183</v>
      </c>
      <c r="D458" t="s">
        <v>89</v>
      </c>
      <c r="E458" t="str">
        <f>IF(StatusBranchGrade[[#This Row],[Status]] = "CYS", "DoD", StatusBranchGrade[[#This Row],[Rank]] &amp; "")</f>
        <v>O-3</v>
      </c>
      <c r="F458" t="s">
        <v>89</v>
      </c>
      <c r="G458" t="str">
        <f>IF(StatusBranchGrade[[#This Row],[Rank]] = StatusBranchGrade[[#This Row],[Grade]], StatusBranchGrade[[#This Row],[Rank]], StatusBranchGrade[[#This Row],[Grade]] &amp; "/" &amp; StatusBranchGrade[[#This Row],[Rank]]) &amp; ""</f>
        <v>O-3</v>
      </c>
      <c r="H4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O-3</v>
      </c>
      <c r="I458" s="17" t="str">
        <f>SUBSTITUTE(SUBSTITUTE(SUBSTITUTE(StatusBranchGrade[[#This Row],[Status]] &amp; "  /  " &amp; StatusBranchGrade[[#This Row],[Branch]] &amp; ";", "  /  ;", ";"), "  /  ;", ";"), ";", "")</f>
        <v>Full-time Reserve  /  Air Force</v>
      </c>
      <c r="J458">
        <v>12</v>
      </c>
      <c r="K458" s="17" t="str">
        <f>IF(LEFT(StatusBranchGrade[[#This Row],[Which]], 1) = "1", StatusBranchGrade[[#This Row],[Key]], "")</f>
        <v>Full-time Reserve  /  Air Force  /  O-3</v>
      </c>
      <c r="L458" s="17" t="str">
        <f>IF(LEFT(StatusBranchGrade[[#This Row],[Which]], 1) = "1", StatusBranchGrade[[#This Row],[Key0]], "")</f>
        <v>Full-time Reserve  /  Air Force</v>
      </c>
      <c r="M458" s="17" t="str">
        <f>IF(RIGHT(StatusBranchGrade[[#This Row],[Which]], 1) = "2", StatusBranchGrade[[#This Row],[Key]], "")</f>
        <v>Full-time Reserve  /  Air Force  /  O-3</v>
      </c>
      <c r="N458" s="17" t="str">
        <f>IF(RIGHT(StatusBranchGrade[[#This Row],[Which]], 1) = "2", StatusBranchGrade[[#This Row],[Key0]], "")</f>
        <v>Full-time Reserve  /  Air Force</v>
      </c>
      <c r="O458" s="17" t="s">
        <v>301</v>
      </c>
      <c r="P458" s="17"/>
      <c r="Q458" s="63">
        <f>--ISNUMBER(IF(StatusBranchGrade[[#This Row],[Sponsor0]] = 'Calculation Worksheet'!$AV$6 &amp; "  /  " &amp; 'Calculation Worksheet'!$AV$7, 1, ""))</f>
        <v>0</v>
      </c>
      <c r="R458" s="63" t="str">
        <f>IF(StatusBranchGrade[[#This Row],[S1]] = 1, COUNTIF($Q$3:Q458, 1), "")</f>
        <v/>
      </c>
      <c r="S458" s="63" t="str">
        <f>IFERROR(INDEX(StatusBranchGrade[Rank/Grade], MATCH(ROWS($R$3:R458)-1, StatusBranchGrade[S2], 0)), "") &amp; ""</f>
        <v/>
      </c>
      <c r="T458" s="63">
        <f>--ISNUMBER(IF(StatusBranchGrade[[#This Row],[Spouse0]] = 'Calculation Worksheet'!$CG$6 &amp; "  /  " &amp; 'Calculation Worksheet'!$CG$7, 1, ""))</f>
        <v>0</v>
      </c>
      <c r="U458" s="63" t="str">
        <f>IF(StatusBranchGrade[[#This Row],[T1]] = 1, COUNTIF($T$3:T458, 1), "")</f>
        <v/>
      </c>
      <c r="V458" s="63" t="str">
        <f>IFERROR(INDEX(StatusBranchGrade[Rank/Grade], MATCH(ROWS($U$3:U458)-1, StatusBranchGrade[T2], 0)), "") &amp; ""</f>
        <v/>
      </c>
      <c r="W458" s="63"/>
    </row>
    <row r="459" spans="1:23" x14ac:dyDescent="0.25">
      <c r="A459">
        <v>6</v>
      </c>
      <c r="B459" t="s">
        <v>218</v>
      </c>
      <c r="C459" t="s">
        <v>183</v>
      </c>
      <c r="D459" s="75" t="s">
        <v>12</v>
      </c>
      <c r="E459" s="75" t="str">
        <f>IF(StatusBranchGrade[[#This Row],[Status]] = "CYS", "DoD", StatusBranchGrade[[#This Row],[Rank]] &amp; "")</f>
        <v>O3E</v>
      </c>
      <c r="F459" s="75" t="s">
        <v>89</v>
      </c>
      <c r="G459" s="75" t="str">
        <f>IF(StatusBranchGrade[[#This Row],[Rank]] = StatusBranchGrade[[#This Row],[Grade]], StatusBranchGrade[[#This Row],[Rank]], StatusBranchGrade[[#This Row],[Grade]] &amp; "/" &amp; StatusBranchGrade[[#This Row],[Rank]]) &amp; ""</f>
        <v>O-3/O3E</v>
      </c>
      <c r="H4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O-3/O3E</v>
      </c>
      <c r="I459" s="17" t="str">
        <f>SUBSTITUTE(SUBSTITUTE(SUBSTITUTE(StatusBranchGrade[[#This Row],[Status]] &amp; "  /  " &amp; StatusBranchGrade[[#This Row],[Branch]] &amp; ";", "  /  ;", ";"), "  /  ;", ";"), ";", "")</f>
        <v>Full-time Reserve  /  Air Force</v>
      </c>
      <c r="J459">
        <v>12</v>
      </c>
      <c r="K459" s="17" t="str">
        <f>IF(LEFT(StatusBranchGrade[[#This Row],[Which]], 1) = "1", StatusBranchGrade[[#This Row],[Key]], "")</f>
        <v>Full-time Reserve  /  Air Force  /  O-3/O3E</v>
      </c>
      <c r="L459" s="17" t="str">
        <f>IF(LEFT(StatusBranchGrade[[#This Row],[Which]], 1) = "1", StatusBranchGrade[[#This Row],[Key0]], "")</f>
        <v>Full-time Reserve  /  Air Force</v>
      </c>
      <c r="M459" s="17" t="str">
        <f>IF(RIGHT(StatusBranchGrade[[#This Row],[Which]], 1) = "2", StatusBranchGrade[[#This Row],[Key]], "")</f>
        <v>Full-time Reserve  /  Air Force  /  O-3/O3E</v>
      </c>
      <c r="N459" s="17" t="str">
        <f>IF(RIGHT(StatusBranchGrade[[#This Row],[Which]], 1) = "2", StatusBranchGrade[[#This Row],[Key0]], "")</f>
        <v>Full-time Reserve  /  Air Force</v>
      </c>
      <c r="O459" s="17" t="s">
        <v>301</v>
      </c>
      <c r="P459" s="17"/>
      <c r="Q459" s="63">
        <f>--ISNUMBER(IF(StatusBranchGrade[[#This Row],[Sponsor0]] = 'Calculation Worksheet'!$AV$6 &amp; "  /  " &amp; 'Calculation Worksheet'!$AV$7, 1, ""))</f>
        <v>0</v>
      </c>
      <c r="R459" s="63" t="str">
        <f>IF(StatusBranchGrade[[#This Row],[S1]] = 1, COUNTIF($Q$3:Q459, 1), "")</f>
        <v/>
      </c>
      <c r="S459" s="63" t="str">
        <f>IFERROR(INDEX(StatusBranchGrade[Rank/Grade], MATCH(ROWS($R$3:R459)-1, StatusBranchGrade[S2], 0)), "") &amp; ""</f>
        <v/>
      </c>
      <c r="T459" s="63">
        <f>--ISNUMBER(IF(StatusBranchGrade[[#This Row],[Spouse0]] = 'Calculation Worksheet'!$CG$6 &amp; "  /  " &amp; 'Calculation Worksheet'!$CG$7, 1, ""))</f>
        <v>0</v>
      </c>
      <c r="U459" s="63" t="str">
        <f>IF(StatusBranchGrade[[#This Row],[T1]] = 1, COUNTIF($T$3:T459, 1), "")</f>
        <v/>
      </c>
      <c r="V459" s="63" t="str">
        <f>IFERROR(INDEX(StatusBranchGrade[Rank/Grade], MATCH(ROWS($U$3:U459)-1, StatusBranchGrade[T2], 0)), "") &amp; ""</f>
        <v/>
      </c>
      <c r="W459" s="63"/>
    </row>
    <row r="460" spans="1:23" x14ac:dyDescent="0.25">
      <c r="A460">
        <v>6</v>
      </c>
      <c r="B460" t="s">
        <v>218</v>
      </c>
      <c r="C460" t="s">
        <v>183</v>
      </c>
      <c r="D460" t="s">
        <v>88</v>
      </c>
      <c r="E460" t="str">
        <f>IF(StatusBranchGrade[[#This Row],[Status]] = "CYS", "DoD", StatusBranchGrade[[#This Row],[Rank]] &amp; "")</f>
        <v>O-4</v>
      </c>
      <c r="F460" t="s">
        <v>88</v>
      </c>
      <c r="G460" t="str">
        <f>IF(StatusBranchGrade[[#This Row],[Rank]] = StatusBranchGrade[[#This Row],[Grade]], StatusBranchGrade[[#This Row],[Rank]], StatusBranchGrade[[#This Row],[Grade]] &amp; "/" &amp; StatusBranchGrade[[#This Row],[Rank]]) &amp; ""</f>
        <v>O-4</v>
      </c>
      <c r="H4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O-4</v>
      </c>
      <c r="I460" s="17" t="str">
        <f>SUBSTITUTE(SUBSTITUTE(SUBSTITUTE(StatusBranchGrade[[#This Row],[Status]] &amp; "  /  " &amp; StatusBranchGrade[[#This Row],[Branch]] &amp; ";", "  /  ;", ";"), "  /  ;", ";"), ";", "")</f>
        <v>Full-time Reserve  /  Air Force</v>
      </c>
      <c r="J460">
        <v>12</v>
      </c>
      <c r="K460" s="17" t="str">
        <f>IF(LEFT(StatusBranchGrade[[#This Row],[Which]], 1) = "1", StatusBranchGrade[[#This Row],[Key]], "")</f>
        <v>Full-time Reserve  /  Air Force  /  O-4</v>
      </c>
      <c r="L460" s="17" t="str">
        <f>IF(LEFT(StatusBranchGrade[[#This Row],[Which]], 1) = "1", StatusBranchGrade[[#This Row],[Key0]], "")</f>
        <v>Full-time Reserve  /  Air Force</v>
      </c>
      <c r="M460" s="17" t="str">
        <f>IF(RIGHT(StatusBranchGrade[[#This Row],[Which]], 1) = "2", StatusBranchGrade[[#This Row],[Key]], "")</f>
        <v>Full-time Reserve  /  Air Force  /  O-4</v>
      </c>
      <c r="N460" s="17" t="str">
        <f>IF(RIGHT(StatusBranchGrade[[#This Row],[Which]], 1) = "2", StatusBranchGrade[[#This Row],[Key0]], "")</f>
        <v>Full-time Reserve  /  Air Force</v>
      </c>
      <c r="O460" s="17" t="s">
        <v>301</v>
      </c>
      <c r="P460" s="17"/>
      <c r="Q460" s="63">
        <f>--ISNUMBER(IF(StatusBranchGrade[[#This Row],[Sponsor0]] = 'Calculation Worksheet'!$AV$6 &amp; "  /  " &amp; 'Calculation Worksheet'!$AV$7, 1, ""))</f>
        <v>0</v>
      </c>
      <c r="R460" s="63" t="str">
        <f>IF(StatusBranchGrade[[#This Row],[S1]] = 1, COUNTIF($Q$3:Q460, 1), "")</f>
        <v/>
      </c>
      <c r="S460" s="63" t="str">
        <f>IFERROR(INDEX(StatusBranchGrade[Rank/Grade], MATCH(ROWS($R$3:R460)-1, StatusBranchGrade[S2], 0)), "") &amp; ""</f>
        <v/>
      </c>
      <c r="T460" s="63">
        <f>--ISNUMBER(IF(StatusBranchGrade[[#This Row],[Spouse0]] = 'Calculation Worksheet'!$CG$6 &amp; "  /  " &amp; 'Calculation Worksheet'!$CG$7, 1, ""))</f>
        <v>0</v>
      </c>
      <c r="U460" s="63" t="str">
        <f>IF(StatusBranchGrade[[#This Row],[T1]] = 1, COUNTIF($T$3:T460, 1), "")</f>
        <v/>
      </c>
      <c r="V460" s="63" t="str">
        <f>IFERROR(INDEX(StatusBranchGrade[Rank/Grade], MATCH(ROWS($U$3:U460)-1, StatusBranchGrade[T2], 0)), "") &amp; ""</f>
        <v/>
      </c>
      <c r="W460" s="63"/>
    </row>
    <row r="461" spans="1:23" x14ac:dyDescent="0.25">
      <c r="A461">
        <v>6</v>
      </c>
      <c r="B461" t="s">
        <v>218</v>
      </c>
      <c r="C461" t="s">
        <v>183</v>
      </c>
      <c r="D461" t="s">
        <v>87</v>
      </c>
      <c r="E461" t="str">
        <f>IF(StatusBranchGrade[[#This Row],[Status]] = "CYS", "DoD", StatusBranchGrade[[#This Row],[Rank]] &amp; "")</f>
        <v>O-5</v>
      </c>
      <c r="F461" t="s">
        <v>87</v>
      </c>
      <c r="G461" t="str">
        <f>IF(StatusBranchGrade[[#This Row],[Rank]] = StatusBranchGrade[[#This Row],[Grade]], StatusBranchGrade[[#This Row],[Rank]], StatusBranchGrade[[#This Row],[Grade]] &amp; "/" &amp; StatusBranchGrade[[#This Row],[Rank]]) &amp; ""</f>
        <v>O-5</v>
      </c>
      <c r="H4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O-5</v>
      </c>
      <c r="I461" s="17" t="str">
        <f>SUBSTITUTE(SUBSTITUTE(SUBSTITUTE(StatusBranchGrade[[#This Row],[Status]] &amp; "  /  " &amp; StatusBranchGrade[[#This Row],[Branch]] &amp; ";", "  /  ;", ";"), "  /  ;", ";"), ";", "")</f>
        <v>Full-time Reserve  /  Air Force</v>
      </c>
      <c r="J461">
        <v>12</v>
      </c>
      <c r="K461" s="17" t="str">
        <f>IF(LEFT(StatusBranchGrade[[#This Row],[Which]], 1) = "1", StatusBranchGrade[[#This Row],[Key]], "")</f>
        <v>Full-time Reserve  /  Air Force  /  O-5</v>
      </c>
      <c r="L461" s="17" t="str">
        <f>IF(LEFT(StatusBranchGrade[[#This Row],[Which]], 1) = "1", StatusBranchGrade[[#This Row],[Key0]], "")</f>
        <v>Full-time Reserve  /  Air Force</v>
      </c>
      <c r="M461" s="17" t="str">
        <f>IF(RIGHT(StatusBranchGrade[[#This Row],[Which]], 1) = "2", StatusBranchGrade[[#This Row],[Key]], "")</f>
        <v>Full-time Reserve  /  Air Force  /  O-5</v>
      </c>
      <c r="N461" s="17" t="str">
        <f>IF(RIGHT(StatusBranchGrade[[#This Row],[Which]], 1) = "2", StatusBranchGrade[[#This Row],[Key0]], "")</f>
        <v>Full-time Reserve  /  Air Force</v>
      </c>
      <c r="O461" s="17" t="s">
        <v>301</v>
      </c>
      <c r="P461" s="17"/>
      <c r="Q461" s="63">
        <f>--ISNUMBER(IF(StatusBranchGrade[[#This Row],[Sponsor0]] = 'Calculation Worksheet'!$AV$6 &amp; "  /  " &amp; 'Calculation Worksheet'!$AV$7, 1, ""))</f>
        <v>0</v>
      </c>
      <c r="R461" s="63" t="str">
        <f>IF(StatusBranchGrade[[#This Row],[S1]] = 1, COUNTIF($Q$3:Q461, 1), "")</f>
        <v/>
      </c>
      <c r="S461" s="63" t="str">
        <f>IFERROR(INDEX(StatusBranchGrade[Rank/Grade], MATCH(ROWS($R$3:R461)-1, StatusBranchGrade[S2], 0)), "") &amp; ""</f>
        <v/>
      </c>
      <c r="T461" s="63">
        <f>--ISNUMBER(IF(StatusBranchGrade[[#This Row],[Spouse0]] = 'Calculation Worksheet'!$CG$6 &amp; "  /  " &amp; 'Calculation Worksheet'!$CG$7, 1, ""))</f>
        <v>0</v>
      </c>
      <c r="U461" s="63" t="str">
        <f>IF(StatusBranchGrade[[#This Row],[T1]] = 1, COUNTIF($T$3:T461, 1), "")</f>
        <v/>
      </c>
      <c r="V461" s="63" t="str">
        <f>IFERROR(INDEX(StatusBranchGrade[Rank/Grade], MATCH(ROWS($U$3:U461)-1, StatusBranchGrade[T2], 0)), "") &amp; ""</f>
        <v/>
      </c>
      <c r="W461" s="63"/>
    </row>
    <row r="462" spans="1:23" x14ac:dyDescent="0.25">
      <c r="A462">
        <v>6</v>
      </c>
      <c r="B462" t="s">
        <v>218</v>
      </c>
      <c r="C462" t="s">
        <v>183</v>
      </c>
      <c r="D462" t="s">
        <v>86</v>
      </c>
      <c r="E462" t="str">
        <f>IF(StatusBranchGrade[[#This Row],[Status]] = "CYS", "DoD", StatusBranchGrade[[#This Row],[Rank]] &amp; "")</f>
        <v>O-6</v>
      </c>
      <c r="F462" t="s">
        <v>86</v>
      </c>
      <c r="G462" t="str">
        <f>IF(StatusBranchGrade[[#This Row],[Rank]] = StatusBranchGrade[[#This Row],[Grade]], StatusBranchGrade[[#This Row],[Rank]], StatusBranchGrade[[#This Row],[Grade]] &amp; "/" &amp; StatusBranchGrade[[#This Row],[Rank]]) &amp; ""</f>
        <v>O-6</v>
      </c>
      <c r="H4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O-6</v>
      </c>
      <c r="I462" s="17" t="str">
        <f>SUBSTITUTE(SUBSTITUTE(SUBSTITUTE(StatusBranchGrade[[#This Row],[Status]] &amp; "  /  " &amp; StatusBranchGrade[[#This Row],[Branch]] &amp; ";", "  /  ;", ";"), "  /  ;", ";"), ";", "")</f>
        <v>Full-time Reserve  /  Air Force</v>
      </c>
      <c r="J462">
        <v>12</v>
      </c>
      <c r="K462" s="17" t="str">
        <f>IF(LEFT(StatusBranchGrade[[#This Row],[Which]], 1) = "1", StatusBranchGrade[[#This Row],[Key]], "")</f>
        <v>Full-time Reserve  /  Air Force  /  O-6</v>
      </c>
      <c r="L462" s="17" t="str">
        <f>IF(LEFT(StatusBranchGrade[[#This Row],[Which]], 1) = "1", StatusBranchGrade[[#This Row],[Key0]], "")</f>
        <v>Full-time Reserve  /  Air Force</v>
      </c>
      <c r="M462" s="17" t="str">
        <f>IF(RIGHT(StatusBranchGrade[[#This Row],[Which]], 1) = "2", StatusBranchGrade[[#This Row],[Key]], "")</f>
        <v>Full-time Reserve  /  Air Force  /  O-6</v>
      </c>
      <c r="N462" s="17" t="str">
        <f>IF(RIGHT(StatusBranchGrade[[#This Row],[Which]], 1) = "2", StatusBranchGrade[[#This Row],[Key0]], "")</f>
        <v>Full-time Reserve  /  Air Force</v>
      </c>
      <c r="O462" s="17" t="s">
        <v>301</v>
      </c>
      <c r="P462" s="17"/>
      <c r="Q462" s="63">
        <f>--ISNUMBER(IF(StatusBranchGrade[[#This Row],[Sponsor0]] = 'Calculation Worksheet'!$AV$6 &amp; "  /  " &amp; 'Calculation Worksheet'!$AV$7, 1, ""))</f>
        <v>0</v>
      </c>
      <c r="R462" s="63" t="str">
        <f>IF(StatusBranchGrade[[#This Row],[S1]] = 1, COUNTIF($Q$3:Q462, 1), "")</f>
        <v/>
      </c>
      <c r="S462" s="63" t="str">
        <f>IFERROR(INDEX(StatusBranchGrade[Rank/Grade], MATCH(ROWS($R$3:R462)-1, StatusBranchGrade[S2], 0)), "") &amp; ""</f>
        <v/>
      </c>
      <c r="T462" s="63">
        <f>--ISNUMBER(IF(StatusBranchGrade[[#This Row],[Spouse0]] = 'Calculation Worksheet'!$CG$6 &amp; "  /  " &amp; 'Calculation Worksheet'!$CG$7, 1, ""))</f>
        <v>0</v>
      </c>
      <c r="U462" s="63" t="str">
        <f>IF(StatusBranchGrade[[#This Row],[T1]] = 1, COUNTIF($T$3:T462, 1), "")</f>
        <v/>
      </c>
      <c r="V462" s="63" t="str">
        <f>IFERROR(INDEX(StatusBranchGrade[Rank/Grade], MATCH(ROWS($U$3:U462)-1, StatusBranchGrade[T2], 0)), "") &amp; ""</f>
        <v/>
      </c>
      <c r="W462" s="63"/>
    </row>
    <row r="463" spans="1:23" x14ac:dyDescent="0.25">
      <c r="A463">
        <v>6</v>
      </c>
      <c r="B463" t="s">
        <v>218</v>
      </c>
      <c r="C463" t="s">
        <v>183</v>
      </c>
      <c r="D463" t="s">
        <v>85</v>
      </c>
      <c r="E463" t="str">
        <f>IF(StatusBranchGrade[[#This Row],[Status]] = "CYS", "DoD", StatusBranchGrade[[#This Row],[Rank]] &amp; "")</f>
        <v>O-7</v>
      </c>
      <c r="F463" t="s">
        <v>85</v>
      </c>
      <c r="G463" t="str">
        <f>IF(StatusBranchGrade[[#This Row],[Rank]] = StatusBranchGrade[[#This Row],[Grade]], StatusBranchGrade[[#This Row],[Rank]], StatusBranchGrade[[#This Row],[Grade]] &amp; "/" &amp; StatusBranchGrade[[#This Row],[Rank]]) &amp; ""</f>
        <v>O-7</v>
      </c>
      <c r="H4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O-7</v>
      </c>
      <c r="I463" s="17" t="str">
        <f>SUBSTITUTE(SUBSTITUTE(SUBSTITUTE(StatusBranchGrade[[#This Row],[Status]] &amp; "  /  " &amp; StatusBranchGrade[[#This Row],[Branch]] &amp; ";", "  /  ;", ";"), "  /  ;", ";"), ";", "")</f>
        <v>Full-time Reserve  /  Air Force</v>
      </c>
      <c r="J463">
        <v>12</v>
      </c>
      <c r="K463" s="17" t="str">
        <f>IF(LEFT(StatusBranchGrade[[#This Row],[Which]], 1) = "1", StatusBranchGrade[[#This Row],[Key]], "")</f>
        <v>Full-time Reserve  /  Air Force  /  O-7</v>
      </c>
      <c r="L463" s="17" t="str">
        <f>IF(LEFT(StatusBranchGrade[[#This Row],[Which]], 1) = "1", StatusBranchGrade[[#This Row],[Key0]], "")</f>
        <v>Full-time Reserve  /  Air Force</v>
      </c>
      <c r="M463" s="17" t="str">
        <f>IF(RIGHT(StatusBranchGrade[[#This Row],[Which]], 1) = "2", StatusBranchGrade[[#This Row],[Key]], "")</f>
        <v>Full-time Reserve  /  Air Force  /  O-7</v>
      </c>
      <c r="N463" s="17" t="str">
        <f>IF(RIGHT(StatusBranchGrade[[#This Row],[Which]], 1) = "2", StatusBranchGrade[[#This Row],[Key0]], "")</f>
        <v>Full-time Reserve  /  Air Force</v>
      </c>
      <c r="O463" s="17" t="s">
        <v>301</v>
      </c>
      <c r="P463" s="17"/>
      <c r="Q463" s="63">
        <f>--ISNUMBER(IF(StatusBranchGrade[[#This Row],[Sponsor0]] = 'Calculation Worksheet'!$AV$6 &amp; "  /  " &amp; 'Calculation Worksheet'!$AV$7, 1, ""))</f>
        <v>0</v>
      </c>
      <c r="R463" s="63" t="str">
        <f>IF(StatusBranchGrade[[#This Row],[S1]] = 1, COUNTIF($Q$3:Q463, 1), "")</f>
        <v/>
      </c>
      <c r="S463" s="63" t="str">
        <f>IFERROR(INDEX(StatusBranchGrade[Rank/Grade], MATCH(ROWS($R$3:R463)-1, StatusBranchGrade[S2], 0)), "") &amp; ""</f>
        <v/>
      </c>
      <c r="T463" s="63">
        <f>--ISNUMBER(IF(StatusBranchGrade[[#This Row],[Spouse0]] = 'Calculation Worksheet'!$CG$6 &amp; "  /  " &amp; 'Calculation Worksheet'!$CG$7, 1, ""))</f>
        <v>0</v>
      </c>
      <c r="U463" s="63" t="str">
        <f>IF(StatusBranchGrade[[#This Row],[T1]] = 1, COUNTIF($T$3:T463, 1), "")</f>
        <v/>
      </c>
      <c r="V463" s="63" t="str">
        <f>IFERROR(INDEX(StatusBranchGrade[Rank/Grade], MATCH(ROWS($U$3:U463)-1, StatusBranchGrade[T2], 0)), "") &amp; ""</f>
        <v/>
      </c>
      <c r="W463" s="63"/>
    </row>
    <row r="464" spans="1:23" x14ac:dyDescent="0.25">
      <c r="A464">
        <v>6</v>
      </c>
      <c r="B464" t="s">
        <v>218</v>
      </c>
      <c r="C464" t="s">
        <v>183</v>
      </c>
      <c r="D464" t="s">
        <v>84</v>
      </c>
      <c r="E464" t="str">
        <f>IF(StatusBranchGrade[[#This Row],[Status]] = "CYS", "DoD", StatusBranchGrade[[#This Row],[Rank]] &amp; "")</f>
        <v>O-8</v>
      </c>
      <c r="F464" t="s">
        <v>84</v>
      </c>
      <c r="G464" t="str">
        <f>IF(StatusBranchGrade[[#This Row],[Rank]] = StatusBranchGrade[[#This Row],[Grade]], StatusBranchGrade[[#This Row],[Rank]], StatusBranchGrade[[#This Row],[Grade]] &amp; "/" &amp; StatusBranchGrade[[#This Row],[Rank]]) &amp; ""</f>
        <v>O-8</v>
      </c>
      <c r="H4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O-8</v>
      </c>
      <c r="I464" s="17" t="str">
        <f>SUBSTITUTE(SUBSTITUTE(SUBSTITUTE(StatusBranchGrade[[#This Row],[Status]] &amp; "  /  " &amp; StatusBranchGrade[[#This Row],[Branch]] &amp; ";", "  /  ;", ";"), "  /  ;", ";"), ";", "")</f>
        <v>Full-time Reserve  /  Air Force</v>
      </c>
      <c r="J464">
        <v>12</v>
      </c>
      <c r="K464" s="17" t="str">
        <f>IF(LEFT(StatusBranchGrade[[#This Row],[Which]], 1) = "1", StatusBranchGrade[[#This Row],[Key]], "")</f>
        <v>Full-time Reserve  /  Air Force  /  O-8</v>
      </c>
      <c r="L464" s="17" t="str">
        <f>IF(LEFT(StatusBranchGrade[[#This Row],[Which]], 1) = "1", StatusBranchGrade[[#This Row],[Key0]], "")</f>
        <v>Full-time Reserve  /  Air Force</v>
      </c>
      <c r="M464" s="17" t="str">
        <f>IF(RIGHT(StatusBranchGrade[[#This Row],[Which]], 1) = "2", StatusBranchGrade[[#This Row],[Key]], "")</f>
        <v>Full-time Reserve  /  Air Force  /  O-8</v>
      </c>
      <c r="N464" s="17" t="str">
        <f>IF(RIGHT(StatusBranchGrade[[#This Row],[Which]], 1) = "2", StatusBranchGrade[[#This Row],[Key0]], "")</f>
        <v>Full-time Reserve  /  Air Force</v>
      </c>
      <c r="O464" s="17" t="s">
        <v>301</v>
      </c>
      <c r="P464" s="17"/>
      <c r="Q464" s="63">
        <f>--ISNUMBER(IF(StatusBranchGrade[[#This Row],[Sponsor0]] = 'Calculation Worksheet'!$AV$6 &amp; "  /  " &amp; 'Calculation Worksheet'!$AV$7, 1, ""))</f>
        <v>0</v>
      </c>
      <c r="R464" s="63" t="str">
        <f>IF(StatusBranchGrade[[#This Row],[S1]] = 1, COUNTIF($Q$3:Q464, 1), "")</f>
        <v/>
      </c>
      <c r="S464" s="63" t="str">
        <f>IFERROR(INDEX(StatusBranchGrade[Rank/Grade], MATCH(ROWS($R$3:R464)-1, StatusBranchGrade[S2], 0)), "") &amp; ""</f>
        <v/>
      </c>
      <c r="T464" s="63">
        <f>--ISNUMBER(IF(StatusBranchGrade[[#This Row],[Spouse0]] = 'Calculation Worksheet'!$CG$6 &amp; "  /  " &amp; 'Calculation Worksheet'!$CG$7, 1, ""))</f>
        <v>0</v>
      </c>
      <c r="U464" s="63" t="str">
        <f>IF(StatusBranchGrade[[#This Row],[T1]] = 1, COUNTIF($T$3:T464, 1), "")</f>
        <v/>
      </c>
      <c r="V464" s="63" t="str">
        <f>IFERROR(INDEX(StatusBranchGrade[Rank/Grade], MATCH(ROWS($U$3:U464)-1, StatusBranchGrade[T2], 0)), "") &amp; ""</f>
        <v/>
      </c>
      <c r="W464" s="63"/>
    </row>
    <row r="465" spans="1:23" x14ac:dyDescent="0.25">
      <c r="A465">
        <v>6</v>
      </c>
      <c r="B465" t="s">
        <v>218</v>
      </c>
      <c r="C465" t="s">
        <v>183</v>
      </c>
      <c r="D465" t="s">
        <v>83</v>
      </c>
      <c r="E465" t="str">
        <f>IF(StatusBranchGrade[[#This Row],[Status]] = "CYS", "DoD", StatusBranchGrade[[#This Row],[Rank]] &amp; "")</f>
        <v>O-9</v>
      </c>
      <c r="F465" t="s">
        <v>83</v>
      </c>
      <c r="G465" t="str">
        <f>IF(StatusBranchGrade[[#This Row],[Rank]] = StatusBranchGrade[[#This Row],[Grade]], StatusBranchGrade[[#This Row],[Rank]], StatusBranchGrade[[#This Row],[Grade]] &amp; "/" &amp; StatusBranchGrade[[#This Row],[Rank]]) &amp; ""</f>
        <v>O-9</v>
      </c>
      <c r="H4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O-9</v>
      </c>
      <c r="I465" s="17" t="str">
        <f>SUBSTITUTE(SUBSTITUTE(SUBSTITUTE(StatusBranchGrade[[#This Row],[Status]] &amp; "  /  " &amp; StatusBranchGrade[[#This Row],[Branch]] &amp; ";", "  /  ;", ";"), "  /  ;", ";"), ";", "")</f>
        <v>Full-time Reserve  /  Air Force</v>
      </c>
      <c r="J465">
        <v>12</v>
      </c>
      <c r="K465" s="17" t="str">
        <f>IF(LEFT(StatusBranchGrade[[#This Row],[Which]], 1) = "1", StatusBranchGrade[[#This Row],[Key]], "")</f>
        <v>Full-time Reserve  /  Air Force  /  O-9</v>
      </c>
      <c r="L465" s="17" t="str">
        <f>IF(LEFT(StatusBranchGrade[[#This Row],[Which]], 1) = "1", StatusBranchGrade[[#This Row],[Key0]], "")</f>
        <v>Full-time Reserve  /  Air Force</v>
      </c>
      <c r="M465" s="17" t="str">
        <f>IF(RIGHT(StatusBranchGrade[[#This Row],[Which]], 1) = "2", StatusBranchGrade[[#This Row],[Key]], "")</f>
        <v>Full-time Reserve  /  Air Force  /  O-9</v>
      </c>
      <c r="N465" s="17" t="str">
        <f>IF(RIGHT(StatusBranchGrade[[#This Row],[Which]], 1) = "2", StatusBranchGrade[[#This Row],[Key0]], "")</f>
        <v>Full-time Reserve  /  Air Force</v>
      </c>
      <c r="O465" s="17" t="s">
        <v>301</v>
      </c>
      <c r="P465" s="17"/>
      <c r="Q465" s="63">
        <f>--ISNUMBER(IF(StatusBranchGrade[[#This Row],[Sponsor0]] = 'Calculation Worksheet'!$AV$6 &amp; "  /  " &amp; 'Calculation Worksheet'!$AV$7, 1, ""))</f>
        <v>0</v>
      </c>
      <c r="R465" s="63" t="str">
        <f>IF(StatusBranchGrade[[#This Row],[S1]] = 1, COUNTIF($Q$3:Q465, 1), "")</f>
        <v/>
      </c>
      <c r="S465" s="63" t="str">
        <f>IFERROR(INDEX(StatusBranchGrade[Rank/Grade], MATCH(ROWS($R$3:R465)-1, StatusBranchGrade[S2], 0)), "") &amp; ""</f>
        <v/>
      </c>
      <c r="T465" s="63">
        <f>--ISNUMBER(IF(StatusBranchGrade[[#This Row],[Spouse0]] = 'Calculation Worksheet'!$CG$6 &amp; "  /  " &amp; 'Calculation Worksheet'!$CG$7, 1, ""))</f>
        <v>0</v>
      </c>
      <c r="U465" s="63" t="str">
        <f>IF(StatusBranchGrade[[#This Row],[T1]] = 1, COUNTIF($T$3:T465, 1), "")</f>
        <v/>
      </c>
      <c r="V465" s="63" t="str">
        <f>IFERROR(INDEX(StatusBranchGrade[Rank/Grade], MATCH(ROWS($U$3:U465)-1, StatusBranchGrade[T2], 0)), "") &amp; ""</f>
        <v/>
      </c>
      <c r="W465" s="63"/>
    </row>
    <row r="466" spans="1:23" x14ac:dyDescent="0.25">
      <c r="A466">
        <v>6</v>
      </c>
      <c r="B466" t="s">
        <v>218</v>
      </c>
      <c r="C466" t="s">
        <v>183</v>
      </c>
      <c r="D466" t="s">
        <v>96</v>
      </c>
      <c r="E466" t="str">
        <f>IF(StatusBranchGrade[[#This Row],[Status]] = "CYS", "DoD", StatusBranchGrade[[#This Row],[Rank]] &amp; "")</f>
        <v>W-1</v>
      </c>
      <c r="F466" t="s">
        <v>96</v>
      </c>
      <c r="G466" t="str">
        <f>IF(StatusBranchGrade[[#This Row],[Rank]] = StatusBranchGrade[[#This Row],[Grade]], StatusBranchGrade[[#This Row],[Rank]], StatusBranchGrade[[#This Row],[Grade]] &amp; "/" &amp; StatusBranchGrade[[#This Row],[Rank]]) &amp; ""</f>
        <v>W-1</v>
      </c>
      <c r="H4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W-1</v>
      </c>
      <c r="I466" s="17" t="str">
        <f>SUBSTITUTE(SUBSTITUTE(SUBSTITUTE(StatusBranchGrade[[#This Row],[Status]] &amp; "  /  " &amp; StatusBranchGrade[[#This Row],[Branch]] &amp; ";", "  /  ;", ";"), "  /  ;", ";"), ";", "")</f>
        <v>Full-time Reserve  /  Air Force</v>
      </c>
      <c r="J466">
        <v>12</v>
      </c>
      <c r="K466" s="17" t="str">
        <f>IF(LEFT(StatusBranchGrade[[#This Row],[Which]], 1) = "1", StatusBranchGrade[[#This Row],[Key]], "")</f>
        <v>Full-time Reserve  /  Air Force  /  W-1</v>
      </c>
      <c r="L466" s="17" t="str">
        <f>IF(LEFT(StatusBranchGrade[[#This Row],[Which]], 1) = "1", StatusBranchGrade[[#This Row],[Key0]], "")</f>
        <v>Full-time Reserve  /  Air Force</v>
      </c>
      <c r="M466" s="17" t="str">
        <f>IF(RIGHT(StatusBranchGrade[[#This Row],[Which]], 1) = "2", StatusBranchGrade[[#This Row],[Key]], "")</f>
        <v>Full-time Reserve  /  Air Force  /  W-1</v>
      </c>
      <c r="N466" s="17" t="str">
        <f>IF(RIGHT(StatusBranchGrade[[#This Row],[Which]], 1) = "2", StatusBranchGrade[[#This Row],[Key0]], "")</f>
        <v>Full-time Reserve  /  Air Force</v>
      </c>
      <c r="O466" s="17" t="s">
        <v>301</v>
      </c>
      <c r="P466" s="17"/>
      <c r="Q466" s="63">
        <f>--ISNUMBER(IF(StatusBranchGrade[[#This Row],[Sponsor0]] = 'Calculation Worksheet'!$AV$6 &amp; "  /  " &amp; 'Calculation Worksheet'!$AV$7, 1, ""))</f>
        <v>0</v>
      </c>
      <c r="R466" s="63" t="str">
        <f>IF(StatusBranchGrade[[#This Row],[S1]] = 1, COUNTIF($Q$3:Q466, 1), "")</f>
        <v/>
      </c>
      <c r="S466" s="63" t="str">
        <f>IFERROR(INDEX(StatusBranchGrade[Rank/Grade], MATCH(ROWS($R$3:R466)-1, StatusBranchGrade[S2], 0)), "") &amp; ""</f>
        <v/>
      </c>
      <c r="T466" s="63">
        <f>--ISNUMBER(IF(StatusBranchGrade[[#This Row],[Spouse0]] = 'Calculation Worksheet'!$CG$6 &amp; "  /  " &amp; 'Calculation Worksheet'!$CG$7, 1, ""))</f>
        <v>0</v>
      </c>
      <c r="U466" s="63" t="str">
        <f>IF(StatusBranchGrade[[#This Row],[T1]] = 1, COUNTIF($T$3:T466, 1), "")</f>
        <v/>
      </c>
      <c r="V466" s="63" t="str">
        <f>IFERROR(INDEX(StatusBranchGrade[Rank/Grade], MATCH(ROWS($U$3:U466)-1, StatusBranchGrade[T2], 0)), "") &amp; ""</f>
        <v/>
      </c>
      <c r="W466" s="63"/>
    </row>
    <row r="467" spans="1:23" x14ac:dyDescent="0.25">
      <c r="A467">
        <v>6</v>
      </c>
      <c r="B467" t="s">
        <v>218</v>
      </c>
      <c r="C467" t="s">
        <v>183</v>
      </c>
      <c r="D467" t="s">
        <v>95</v>
      </c>
      <c r="E467" t="str">
        <f>IF(StatusBranchGrade[[#This Row],[Status]] = "CYS", "DoD", StatusBranchGrade[[#This Row],[Rank]] &amp; "")</f>
        <v>W-2</v>
      </c>
      <c r="F467" t="s">
        <v>95</v>
      </c>
      <c r="G467" t="str">
        <f>IF(StatusBranchGrade[[#This Row],[Rank]] = StatusBranchGrade[[#This Row],[Grade]], StatusBranchGrade[[#This Row],[Rank]], StatusBranchGrade[[#This Row],[Grade]] &amp; "/" &amp; StatusBranchGrade[[#This Row],[Rank]]) &amp; ""</f>
        <v>W-2</v>
      </c>
      <c r="H4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W-2</v>
      </c>
      <c r="I467" s="17" t="str">
        <f>SUBSTITUTE(SUBSTITUTE(SUBSTITUTE(StatusBranchGrade[[#This Row],[Status]] &amp; "  /  " &amp; StatusBranchGrade[[#This Row],[Branch]] &amp; ";", "  /  ;", ";"), "  /  ;", ";"), ";", "")</f>
        <v>Full-time Reserve  /  Air Force</v>
      </c>
      <c r="J467">
        <v>12</v>
      </c>
      <c r="K467" s="17" t="str">
        <f>IF(LEFT(StatusBranchGrade[[#This Row],[Which]], 1) = "1", StatusBranchGrade[[#This Row],[Key]], "")</f>
        <v>Full-time Reserve  /  Air Force  /  W-2</v>
      </c>
      <c r="L467" s="17" t="str">
        <f>IF(LEFT(StatusBranchGrade[[#This Row],[Which]], 1) = "1", StatusBranchGrade[[#This Row],[Key0]], "")</f>
        <v>Full-time Reserve  /  Air Force</v>
      </c>
      <c r="M467" s="17" t="str">
        <f>IF(RIGHT(StatusBranchGrade[[#This Row],[Which]], 1) = "2", StatusBranchGrade[[#This Row],[Key]], "")</f>
        <v>Full-time Reserve  /  Air Force  /  W-2</v>
      </c>
      <c r="N467" s="17" t="str">
        <f>IF(RIGHT(StatusBranchGrade[[#This Row],[Which]], 1) = "2", StatusBranchGrade[[#This Row],[Key0]], "")</f>
        <v>Full-time Reserve  /  Air Force</v>
      </c>
      <c r="O467" s="17" t="s">
        <v>301</v>
      </c>
      <c r="P467" s="17"/>
      <c r="Q467" s="63">
        <f>--ISNUMBER(IF(StatusBranchGrade[[#This Row],[Sponsor0]] = 'Calculation Worksheet'!$AV$6 &amp; "  /  " &amp; 'Calculation Worksheet'!$AV$7, 1, ""))</f>
        <v>0</v>
      </c>
      <c r="R467" s="63" t="str">
        <f>IF(StatusBranchGrade[[#This Row],[S1]] = 1, COUNTIF($Q$3:Q467, 1), "")</f>
        <v/>
      </c>
      <c r="S467" s="63" t="str">
        <f>IFERROR(INDEX(StatusBranchGrade[Rank/Grade], MATCH(ROWS($R$3:R467)-1, StatusBranchGrade[S2], 0)), "") &amp; ""</f>
        <v/>
      </c>
      <c r="T467" s="63">
        <f>--ISNUMBER(IF(StatusBranchGrade[[#This Row],[Spouse0]] = 'Calculation Worksheet'!$CG$6 &amp; "  /  " &amp; 'Calculation Worksheet'!$CG$7, 1, ""))</f>
        <v>0</v>
      </c>
      <c r="U467" s="63" t="str">
        <f>IF(StatusBranchGrade[[#This Row],[T1]] = 1, COUNTIF($T$3:T467, 1), "")</f>
        <v/>
      </c>
      <c r="V467" s="63" t="str">
        <f>IFERROR(INDEX(StatusBranchGrade[Rank/Grade], MATCH(ROWS($U$3:U467)-1, StatusBranchGrade[T2], 0)), "") &amp; ""</f>
        <v/>
      </c>
      <c r="W467" s="63"/>
    </row>
    <row r="468" spans="1:23" x14ac:dyDescent="0.25">
      <c r="A468">
        <v>6</v>
      </c>
      <c r="B468" t="s">
        <v>218</v>
      </c>
      <c r="C468" t="s">
        <v>183</v>
      </c>
      <c r="D468" t="s">
        <v>94</v>
      </c>
      <c r="E468" t="str">
        <f>IF(StatusBranchGrade[[#This Row],[Status]] = "CYS", "DoD", StatusBranchGrade[[#This Row],[Rank]] &amp; "")</f>
        <v>W-3</v>
      </c>
      <c r="F468" t="s">
        <v>94</v>
      </c>
      <c r="G468" t="str">
        <f>IF(StatusBranchGrade[[#This Row],[Rank]] = StatusBranchGrade[[#This Row],[Grade]], StatusBranchGrade[[#This Row],[Rank]], StatusBranchGrade[[#This Row],[Grade]] &amp; "/" &amp; StatusBranchGrade[[#This Row],[Rank]]) &amp; ""</f>
        <v>W-3</v>
      </c>
      <c r="H4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W-3</v>
      </c>
      <c r="I468" s="17" t="str">
        <f>SUBSTITUTE(SUBSTITUTE(SUBSTITUTE(StatusBranchGrade[[#This Row],[Status]] &amp; "  /  " &amp; StatusBranchGrade[[#This Row],[Branch]] &amp; ";", "  /  ;", ";"), "  /  ;", ";"), ";", "")</f>
        <v>Full-time Reserve  /  Air Force</v>
      </c>
      <c r="J468">
        <v>12</v>
      </c>
      <c r="K468" s="17" t="str">
        <f>IF(LEFT(StatusBranchGrade[[#This Row],[Which]], 1) = "1", StatusBranchGrade[[#This Row],[Key]], "")</f>
        <v>Full-time Reserve  /  Air Force  /  W-3</v>
      </c>
      <c r="L468" s="17" t="str">
        <f>IF(LEFT(StatusBranchGrade[[#This Row],[Which]], 1) = "1", StatusBranchGrade[[#This Row],[Key0]], "")</f>
        <v>Full-time Reserve  /  Air Force</v>
      </c>
      <c r="M468" s="17" t="str">
        <f>IF(RIGHT(StatusBranchGrade[[#This Row],[Which]], 1) = "2", StatusBranchGrade[[#This Row],[Key]], "")</f>
        <v>Full-time Reserve  /  Air Force  /  W-3</v>
      </c>
      <c r="N468" s="17" t="str">
        <f>IF(RIGHT(StatusBranchGrade[[#This Row],[Which]], 1) = "2", StatusBranchGrade[[#This Row],[Key0]], "")</f>
        <v>Full-time Reserve  /  Air Force</v>
      </c>
      <c r="O468" s="17" t="s">
        <v>301</v>
      </c>
      <c r="P468" s="17"/>
      <c r="Q468" s="63">
        <f>--ISNUMBER(IF(StatusBranchGrade[[#This Row],[Sponsor0]] = 'Calculation Worksheet'!$AV$6 &amp; "  /  " &amp; 'Calculation Worksheet'!$AV$7, 1, ""))</f>
        <v>0</v>
      </c>
      <c r="R468" s="63" t="str">
        <f>IF(StatusBranchGrade[[#This Row],[S1]] = 1, COUNTIF($Q$3:Q468, 1), "")</f>
        <v/>
      </c>
      <c r="S468" s="63" t="str">
        <f>IFERROR(INDEX(StatusBranchGrade[Rank/Grade], MATCH(ROWS($R$3:R468)-1, StatusBranchGrade[S2], 0)), "") &amp; ""</f>
        <v/>
      </c>
      <c r="T468" s="63">
        <f>--ISNUMBER(IF(StatusBranchGrade[[#This Row],[Spouse0]] = 'Calculation Worksheet'!$CG$6 &amp; "  /  " &amp; 'Calculation Worksheet'!$CG$7, 1, ""))</f>
        <v>0</v>
      </c>
      <c r="U468" s="63" t="str">
        <f>IF(StatusBranchGrade[[#This Row],[T1]] = 1, COUNTIF($T$3:T468, 1), "")</f>
        <v/>
      </c>
      <c r="V468" s="63" t="str">
        <f>IFERROR(INDEX(StatusBranchGrade[Rank/Grade], MATCH(ROWS($U$3:U468)-1, StatusBranchGrade[T2], 0)), "") &amp; ""</f>
        <v/>
      </c>
      <c r="W468" s="63"/>
    </row>
    <row r="469" spans="1:23" x14ac:dyDescent="0.25">
      <c r="A469">
        <v>6</v>
      </c>
      <c r="B469" t="s">
        <v>218</v>
      </c>
      <c r="C469" t="s">
        <v>183</v>
      </c>
      <c r="D469" t="s">
        <v>93</v>
      </c>
      <c r="E469" t="str">
        <f>IF(StatusBranchGrade[[#This Row],[Status]] = "CYS", "DoD", StatusBranchGrade[[#This Row],[Rank]] &amp; "")</f>
        <v>W-4</v>
      </c>
      <c r="F469" t="s">
        <v>93</v>
      </c>
      <c r="G469" t="str">
        <f>IF(StatusBranchGrade[[#This Row],[Rank]] = StatusBranchGrade[[#This Row],[Grade]], StatusBranchGrade[[#This Row],[Rank]], StatusBranchGrade[[#This Row],[Grade]] &amp; "/" &amp; StatusBranchGrade[[#This Row],[Rank]]) &amp; ""</f>
        <v>W-4</v>
      </c>
      <c r="H4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Air Force  /  W-4</v>
      </c>
      <c r="I469" s="17" t="str">
        <f>SUBSTITUTE(SUBSTITUTE(SUBSTITUTE(StatusBranchGrade[[#This Row],[Status]] &amp; "  /  " &amp; StatusBranchGrade[[#This Row],[Branch]] &amp; ";", "  /  ;", ";"), "  /  ;", ";"), ";", "")</f>
        <v>Full-time Reserve  /  Air Force</v>
      </c>
      <c r="J469">
        <v>12</v>
      </c>
      <c r="K469" s="17" t="str">
        <f>IF(LEFT(StatusBranchGrade[[#This Row],[Which]], 1) = "1", StatusBranchGrade[[#This Row],[Key]], "")</f>
        <v>Full-time Reserve  /  Air Force  /  W-4</v>
      </c>
      <c r="L469" s="17" t="str">
        <f>IF(LEFT(StatusBranchGrade[[#This Row],[Which]], 1) = "1", StatusBranchGrade[[#This Row],[Key0]], "")</f>
        <v>Full-time Reserve  /  Air Force</v>
      </c>
      <c r="M469" s="17" t="str">
        <f>IF(RIGHT(StatusBranchGrade[[#This Row],[Which]], 1) = "2", StatusBranchGrade[[#This Row],[Key]], "")</f>
        <v>Full-time Reserve  /  Air Force  /  W-4</v>
      </c>
      <c r="N469" s="17" t="str">
        <f>IF(RIGHT(StatusBranchGrade[[#This Row],[Which]], 1) = "2", StatusBranchGrade[[#This Row],[Key0]], "")</f>
        <v>Full-time Reserve  /  Air Force</v>
      </c>
      <c r="O469" s="17" t="s">
        <v>301</v>
      </c>
      <c r="P469" s="17"/>
      <c r="Q469" s="63">
        <f>--ISNUMBER(IF(StatusBranchGrade[[#This Row],[Sponsor0]] = 'Calculation Worksheet'!$AV$6 &amp; "  /  " &amp; 'Calculation Worksheet'!$AV$7, 1, ""))</f>
        <v>0</v>
      </c>
      <c r="R469" s="63" t="str">
        <f>IF(StatusBranchGrade[[#This Row],[S1]] = 1, COUNTIF($Q$3:Q469, 1), "")</f>
        <v/>
      </c>
      <c r="S469" s="63" t="str">
        <f>IFERROR(INDEX(StatusBranchGrade[Rank/Grade], MATCH(ROWS($R$3:R469)-1, StatusBranchGrade[S2], 0)), "") &amp; ""</f>
        <v/>
      </c>
      <c r="T469" s="63">
        <f>--ISNUMBER(IF(StatusBranchGrade[[#This Row],[Spouse0]] = 'Calculation Worksheet'!$CG$6 &amp; "  /  " &amp; 'Calculation Worksheet'!$CG$7, 1, ""))</f>
        <v>0</v>
      </c>
      <c r="U469" s="63" t="str">
        <f>IF(StatusBranchGrade[[#This Row],[T1]] = 1, COUNTIF($T$3:T469, 1), "")</f>
        <v/>
      </c>
      <c r="V469" s="63" t="str">
        <f>IFERROR(INDEX(StatusBranchGrade[Rank/Grade], MATCH(ROWS($U$3:U469)-1, StatusBranchGrade[T2], 0)), "") &amp; ""</f>
        <v/>
      </c>
      <c r="W469" s="63"/>
    </row>
    <row r="470" spans="1:23" x14ac:dyDescent="0.25">
      <c r="A470">
        <v>6</v>
      </c>
      <c r="B470" t="s">
        <v>218</v>
      </c>
      <c r="C470" t="s">
        <v>180</v>
      </c>
      <c r="D470" t="s">
        <v>95</v>
      </c>
      <c r="E470" t="str">
        <f>IF(StatusBranchGrade[[#This Row],[Status]] = "CYS", "DoD", StatusBranchGrade[[#This Row],[Rank]] &amp; "")</f>
        <v>W-2</v>
      </c>
      <c r="F470" t="s">
        <v>174</v>
      </c>
      <c r="G470" t="str">
        <f>IF(StatusBranchGrade[[#This Row],[Rank]] = StatusBranchGrade[[#This Row],[Grade]], StatusBranchGrade[[#This Row],[Rank]], StatusBranchGrade[[#This Row],[Grade]] &amp; "/" &amp; StatusBranchGrade[[#This Row],[Rank]]) &amp; ""</f>
        <v>CW2/W-2</v>
      </c>
      <c r="H47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CW2/W-2</v>
      </c>
      <c r="I470" s="17" t="str">
        <f>SUBSTITUTE(SUBSTITUTE(SUBSTITUTE(StatusBranchGrade[[#This Row],[Status]] &amp; "  /  " &amp; StatusBranchGrade[[#This Row],[Branch]] &amp; ";", "  /  ;", ";"), "  /  ;", ";"), ";", "")</f>
        <v>Full-time Reserve  /  Army</v>
      </c>
      <c r="J470">
        <v>12</v>
      </c>
      <c r="K470" s="17" t="str">
        <f>IF(LEFT(StatusBranchGrade[[#This Row],[Which]], 1) = "1", StatusBranchGrade[[#This Row],[Key]], "")</f>
        <v>Full-time Reserve  /  Army  /  CW2/W-2</v>
      </c>
      <c r="L470" s="17" t="str">
        <f>IF(LEFT(StatusBranchGrade[[#This Row],[Which]], 1) = "1", StatusBranchGrade[[#This Row],[Key0]], "")</f>
        <v>Full-time Reserve  /  Army</v>
      </c>
      <c r="M470" s="17" t="str">
        <f>IF(RIGHT(StatusBranchGrade[[#This Row],[Which]], 1) = "2", StatusBranchGrade[[#This Row],[Key]], "")</f>
        <v>Full-time Reserve  /  Army  /  CW2/W-2</v>
      </c>
      <c r="N470" s="17" t="str">
        <f>IF(RIGHT(StatusBranchGrade[[#This Row],[Which]], 1) = "2", StatusBranchGrade[[#This Row],[Key0]], "")</f>
        <v>Full-time Reserve  /  Army</v>
      </c>
      <c r="O470" s="17" t="s">
        <v>301</v>
      </c>
      <c r="P470" s="17"/>
      <c r="Q470" s="63">
        <f>--ISNUMBER(IF(StatusBranchGrade[[#This Row],[Sponsor0]] = 'Calculation Worksheet'!$AV$6 &amp; "  /  " &amp; 'Calculation Worksheet'!$AV$7, 1, ""))</f>
        <v>0</v>
      </c>
      <c r="R470" s="63" t="str">
        <f>IF(StatusBranchGrade[[#This Row],[S1]] = 1, COUNTIF($Q$3:Q470, 1), "")</f>
        <v/>
      </c>
      <c r="S470" s="63" t="str">
        <f>IFERROR(INDEX(StatusBranchGrade[Rank/Grade], MATCH(ROWS($R$3:R470)-1, StatusBranchGrade[S2], 0)), "") &amp; ""</f>
        <v/>
      </c>
      <c r="T470" s="63">
        <f>--ISNUMBER(IF(StatusBranchGrade[[#This Row],[Spouse0]] = 'Calculation Worksheet'!$CG$6 &amp; "  /  " &amp; 'Calculation Worksheet'!$CG$7, 1, ""))</f>
        <v>0</v>
      </c>
      <c r="U470" s="63" t="str">
        <f>IF(StatusBranchGrade[[#This Row],[T1]] = 1, COUNTIF($T$3:T470, 1), "")</f>
        <v/>
      </c>
      <c r="V470" s="63" t="str">
        <f>IFERROR(INDEX(StatusBranchGrade[Rank/Grade], MATCH(ROWS($U$3:U470)-1, StatusBranchGrade[T2], 0)), "") &amp; ""</f>
        <v/>
      </c>
      <c r="W470" s="63"/>
    </row>
    <row r="471" spans="1:23" x14ac:dyDescent="0.25">
      <c r="A471">
        <v>6</v>
      </c>
      <c r="B471" t="s">
        <v>218</v>
      </c>
      <c r="C471" t="s">
        <v>180</v>
      </c>
      <c r="D471" t="s">
        <v>94</v>
      </c>
      <c r="E471" t="str">
        <f>IF(StatusBranchGrade[[#This Row],[Status]] = "CYS", "DoD", StatusBranchGrade[[#This Row],[Rank]] &amp; "")</f>
        <v>W-3</v>
      </c>
      <c r="F471" t="s">
        <v>175</v>
      </c>
      <c r="G471" t="str">
        <f>IF(StatusBranchGrade[[#This Row],[Rank]] = StatusBranchGrade[[#This Row],[Grade]], StatusBranchGrade[[#This Row],[Rank]], StatusBranchGrade[[#This Row],[Grade]] &amp; "/" &amp; StatusBranchGrade[[#This Row],[Rank]]) &amp; ""</f>
        <v>CW3/W-3</v>
      </c>
      <c r="H47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CW3/W-3</v>
      </c>
      <c r="I471" s="17" t="str">
        <f>SUBSTITUTE(SUBSTITUTE(SUBSTITUTE(StatusBranchGrade[[#This Row],[Status]] &amp; "  /  " &amp; StatusBranchGrade[[#This Row],[Branch]] &amp; ";", "  /  ;", ";"), "  /  ;", ";"), ";", "")</f>
        <v>Full-time Reserve  /  Army</v>
      </c>
      <c r="J471">
        <v>12</v>
      </c>
      <c r="K471" s="17" t="str">
        <f>IF(LEFT(StatusBranchGrade[[#This Row],[Which]], 1) = "1", StatusBranchGrade[[#This Row],[Key]], "")</f>
        <v>Full-time Reserve  /  Army  /  CW3/W-3</v>
      </c>
      <c r="L471" s="17" t="str">
        <f>IF(LEFT(StatusBranchGrade[[#This Row],[Which]], 1) = "1", StatusBranchGrade[[#This Row],[Key0]], "")</f>
        <v>Full-time Reserve  /  Army</v>
      </c>
      <c r="M471" s="17" t="str">
        <f>IF(RIGHT(StatusBranchGrade[[#This Row],[Which]], 1) = "2", StatusBranchGrade[[#This Row],[Key]], "")</f>
        <v>Full-time Reserve  /  Army  /  CW3/W-3</v>
      </c>
      <c r="N471" s="17" t="str">
        <f>IF(RIGHT(StatusBranchGrade[[#This Row],[Which]], 1) = "2", StatusBranchGrade[[#This Row],[Key0]], "")</f>
        <v>Full-time Reserve  /  Army</v>
      </c>
      <c r="O471" s="17" t="s">
        <v>301</v>
      </c>
      <c r="P471" s="17"/>
      <c r="Q471" s="63">
        <f>--ISNUMBER(IF(StatusBranchGrade[[#This Row],[Sponsor0]] = 'Calculation Worksheet'!$AV$6 &amp; "  /  " &amp; 'Calculation Worksheet'!$AV$7, 1, ""))</f>
        <v>0</v>
      </c>
      <c r="R471" s="63" t="str">
        <f>IF(StatusBranchGrade[[#This Row],[S1]] = 1, COUNTIF($Q$3:Q471, 1), "")</f>
        <v/>
      </c>
      <c r="S471" s="63" t="str">
        <f>IFERROR(INDEX(StatusBranchGrade[Rank/Grade], MATCH(ROWS($R$3:R471)-1, StatusBranchGrade[S2], 0)), "") &amp; ""</f>
        <v/>
      </c>
      <c r="T471" s="63">
        <f>--ISNUMBER(IF(StatusBranchGrade[[#This Row],[Spouse0]] = 'Calculation Worksheet'!$CG$6 &amp; "  /  " &amp; 'Calculation Worksheet'!$CG$7, 1, ""))</f>
        <v>0</v>
      </c>
      <c r="U471" s="63" t="str">
        <f>IF(StatusBranchGrade[[#This Row],[T1]] = 1, COUNTIF($T$3:T471, 1), "")</f>
        <v/>
      </c>
      <c r="V471" s="63" t="str">
        <f>IFERROR(INDEX(StatusBranchGrade[Rank/Grade], MATCH(ROWS($U$3:U471)-1, StatusBranchGrade[T2], 0)), "") &amp; ""</f>
        <v/>
      </c>
      <c r="W471" s="63"/>
    </row>
    <row r="472" spans="1:23" x14ac:dyDescent="0.25">
      <c r="A472">
        <v>6</v>
      </c>
      <c r="B472" t="s">
        <v>218</v>
      </c>
      <c r="C472" t="s">
        <v>180</v>
      </c>
      <c r="D472" t="s">
        <v>93</v>
      </c>
      <c r="E472" t="str">
        <f>IF(StatusBranchGrade[[#This Row],[Status]] = "CYS", "DoD", StatusBranchGrade[[#This Row],[Rank]] &amp; "")</f>
        <v>W-4</v>
      </c>
      <c r="F472" t="s">
        <v>176</v>
      </c>
      <c r="G472" t="str">
        <f>IF(StatusBranchGrade[[#This Row],[Rank]] = StatusBranchGrade[[#This Row],[Grade]], StatusBranchGrade[[#This Row],[Rank]], StatusBranchGrade[[#This Row],[Grade]] &amp; "/" &amp; StatusBranchGrade[[#This Row],[Rank]]) &amp; ""</f>
        <v>CW4/W-4</v>
      </c>
      <c r="H47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CW4/W-4</v>
      </c>
      <c r="I472" s="17" t="str">
        <f>SUBSTITUTE(SUBSTITUTE(SUBSTITUTE(StatusBranchGrade[[#This Row],[Status]] &amp; "  /  " &amp; StatusBranchGrade[[#This Row],[Branch]] &amp; ";", "  /  ;", ";"), "  /  ;", ";"), ";", "")</f>
        <v>Full-time Reserve  /  Army</v>
      </c>
      <c r="J472">
        <v>12</v>
      </c>
      <c r="K472" s="17" t="str">
        <f>IF(LEFT(StatusBranchGrade[[#This Row],[Which]], 1) = "1", StatusBranchGrade[[#This Row],[Key]], "")</f>
        <v>Full-time Reserve  /  Army  /  CW4/W-4</v>
      </c>
      <c r="L472" s="17" t="str">
        <f>IF(LEFT(StatusBranchGrade[[#This Row],[Which]], 1) = "1", StatusBranchGrade[[#This Row],[Key0]], "")</f>
        <v>Full-time Reserve  /  Army</v>
      </c>
      <c r="M472" s="17" t="str">
        <f>IF(RIGHT(StatusBranchGrade[[#This Row],[Which]], 1) = "2", StatusBranchGrade[[#This Row],[Key]], "")</f>
        <v>Full-time Reserve  /  Army  /  CW4/W-4</v>
      </c>
      <c r="N472" s="17" t="str">
        <f>IF(RIGHT(StatusBranchGrade[[#This Row],[Which]], 1) = "2", StatusBranchGrade[[#This Row],[Key0]], "")</f>
        <v>Full-time Reserve  /  Army</v>
      </c>
      <c r="O472" s="17" t="s">
        <v>301</v>
      </c>
      <c r="P472" s="17"/>
      <c r="Q472" s="63">
        <f>--ISNUMBER(IF(StatusBranchGrade[[#This Row],[Sponsor0]] = 'Calculation Worksheet'!$AV$6 &amp; "  /  " &amp; 'Calculation Worksheet'!$AV$7, 1, ""))</f>
        <v>0</v>
      </c>
      <c r="R472" s="63" t="str">
        <f>IF(StatusBranchGrade[[#This Row],[S1]] = 1, COUNTIF($Q$3:Q472, 1), "")</f>
        <v/>
      </c>
      <c r="S472" s="63" t="str">
        <f>IFERROR(INDEX(StatusBranchGrade[Rank/Grade], MATCH(ROWS($R$3:R472)-1, StatusBranchGrade[S2], 0)), "") &amp; ""</f>
        <v/>
      </c>
      <c r="T472" s="63">
        <f>--ISNUMBER(IF(StatusBranchGrade[[#This Row],[Spouse0]] = 'Calculation Worksheet'!$CG$6 &amp; "  /  " &amp; 'Calculation Worksheet'!$CG$7, 1, ""))</f>
        <v>0</v>
      </c>
      <c r="U472" s="63" t="str">
        <f>IF(StatusBranchGrade[[#This Row],[T1]] = 1, COUNTIF($T$3:T472, 1), "")</f>
        <v/>
      </c>
      <c r="V472" s="63" t="str">
        <f>IFERROR(INDEX(StatusBranchGrade[Rank/Grade], MATCH(ROWS($U$3:U472)-1, StatusBranchGrade[T2], 0)), "") &amp; ""</f>
        <v/>
      </c>
      <c r="W472" s="63"/>
    </row>
    <row r="473" spans="1:23" x14ac:dyDescent="0.25">
      <c r="A473">
        <v>6</v>
      </c>
      <c r="B473" t="s">
        <v>218</v>
      </c>
      <c r="C473" t="s">
        <v>180</v>
      </c>
      <c r="D473" t="s">
        <v>92</v>
      </c>
      <c r="E473" t="str">
        <f>IF(StatusBranchGrade[[#This Row],[Status]] = "CYS", "DoD", StatusBranchGrade[[#This Row],[Rank]] &amp; "")</f>
        <v>W-5</v>
      </c>
      <c r="F473" t="s">
        <v>177</v>
      </c>
      <c r="G473" t="str">
        <f>IF(StatusBranchGrade[[#This Row],[Rank]] = StatusBranchGrade[[#This Row],[Grade]], StatusBranchGrade[[#This Row],[Rank]], StatusBranchGrade[[#This Row],[Grade]] &amp; "/" &amp; StatusBranchGrade[[#This Row],[Rank]]) &amp; ""</f>
        <v>CW5/W-5</v>
      </c>
      <c r="H47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CW5/W-5</v>
      </c>
      <c r="I473" s="17" t="str">
        <f>SUBSTITUTE(SUBSTITUTE(SUBSTITUTE(StatusBranchGrade[[#This Row],[Status]] &amp; "  /  " &amp; StatusBranchGrade[[#This Row],[Branch]] &amp; ";", "  /  ;", ";"), "  /  ;", ";"), ";", "")</f>
        <v>Full-time Reserve  /  Army</v>
      </c>
      <c r="J473">
        <v>12</v>
      </c>
      <c r="K473" s="17" t="str">
        <f>IF(LEFT(StatusBranchGrade[[#This Row],[Which]], 1) = "1", StatusBranchGrade[[#This Row],[Key]], "")</f>
        <v>Full-time Reserve  /  Army  /  CW5/W-5</v>
      </c>
      <c r="L473" s="17" t="str">
        <f>IF(LEFT(StatusBranchGrade[[#This Row],[Which]], 1) = "1", StatusBranchGrade[[#This Row],[Key0]], "")</f>
        <v>Full-time Reserve  /  Army</v>
      </c>
      <c r="M473" s="17" t="str">
        <f>IF(RIGHT(StatusBranchGrade[[#This Row],[Which]], 1) = "2", StatusBranchGrade[[#This Row],[Key]], "")</f>
        <v>Full-time Reserve  /  Army  /  CW5/W-5</v>
      </c>
      <c r="N473" s="17" t="str">
        <f>IF(RIGHT(StatusBranchGrade[[#This Row],[Which]], 1) = "2", StatusBranchGrade[[#This Row],[Key0]], "")</f>
        <v>Full-time Reserve  /  Army</v>
      </c>
      <c r="O473" s="17" t="s">
        <v>301</v>
      </c>
      <c r="P473" s="17"/>
      <c r="Q473" s="63">
        <f>--ISNUMBER(IF(StatusBranchGrade[[#This Row],[Sponsor0]] = 'Calculation Worksheet'!$AV$6 &amp; "  /  " &amp; 'Calculation Worksheet'!$AV$7, 1, ""))</f>
        <v>0</v>
      </c>
      <c r="R473" s="63" t="str">
        <f>IF(StatusBranchGrade[[#This Row],[S1]] = 1, COUNTIF($Q$3:Q473, 1), "")</f>
        <v/>
      </c>
      <c r="S473" s="63" t="str">
        <f>IFERROR(INDEX(StatusBranchGrade[Rank/Grade], MATCH(ROWS($R$3:R473)-1, StatusBranchGrade[S2], 0)), "") &amp; ""</f>
        <v/>
      </c>
      <c r="T473" s="63">
        <f>--ISNUMBER(IF(StatusBranchGrade[[#This Row],[Spouse0]] = 'Calculation Worksheet'!$CG$6 &amp; "  /  " &amp; 'Calculation Worksheet'!$CG$7, 1, ""))</f>
        <v>0</v>
      </c>
      <c r="U473" s="63" t="str">
        <f>IF(StatusBranchGrade[[#This Row],[T1]] = 1, COUNTIF($T$3:T473, 1), "")</f>
        <v/>
      </c>
      <c r="V473" s="63" t="str">
        <f>IFERROR(INDEX(StatusBranchGrade[Rank/Grade], MATCH(ROWS($U$3:U473)-1, StatusBranchGrade[T2], 0)), "") &amp; ""</f>
        <v/>
      </c>
      <c r="W473" s="63"/>
    </row>
    <row r="474" spans="1:23" x14ac:dyDescent="0.25">
      <c r="A474">
        <v>6</v>
      </c>
      <c r="B474" t="s">
        <v>218</v>
      </c>
      <c r="C474" t="s">
        <v>180</v>
      </c>
      <c r="D474" t="s">
        <v>105</v>
      </c>
      <c r="E474" t="str">
        <f>IF(StatusBranchGrade[[#This Row],[Status]] = "CYS", "DoD", StatusBranchGrade[[#This Row],[Rank]] &amp; "")</f>
        <v>E-1</v>
      </c>
      <c r="F474" t="s">
        <v>105</v>
      </c>
      <c r="G474" t="str">
        <f>IF(StatusBranchGrade[[#This Row],[Rank]] = StatusBranchGrade[[#This Row],[Grade]], StatusBranchGrade[[#This Row],[Rank]], StatusBranchGrade[[#This Row],[Grade]] &amp; "/" &amp; StatusBranchGrade[[#This Row],[Rank]]) &amp; ""</f>
        <v>E-1</v>
      </c>
      <c r="H47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E-1</v>
      </c>
      <c r="I474" s="17" t="str">
        <f>SUBSTITUTE(SUBSTITUTE(SUBSTITUTE(StatusBranchGrade[[#This Row],[Status]] &amp; "  /  " &amp; StatusBranchGrade[[#This Row],[Branch]] &amp; ";", "  /  ;", ";"), "  /  ;", ";"), ";", "")</f>
        <v>Full-time Reserve  /  Army</v>
      </c>
      <c r="J474">
        <v>12</v>
      </c>
      <c r="K474" s="17" t="str">
        <f>IF(LEFT(StatusBranchGrade[[#This Row],[Which]], 1) = "1", StatusBranchGrade[[#This Row],[Key]], "")</f>
        <v>Full-time Reserve  /  Army  /  E-1</v>
      </c>
      <c r="L474" s="17" t="str">
        <f>IF(LEFT(StatusBranchGrade[[#This Row],[Which]], 1) = "1", StatusBranchGrade[[#This Row],[Key0]], "")</f>
        <v>Full-time Reserve  /  Army</v>
      </c>
      <c r="M474" s="17" t="str">
        <f>IF(RIGHT(StatusBranchGrade[[#This Row],[Which]], 1) = "2", StatusBranchGrade[[#This Row],[Key]], "")</f>
        <v>Full-time Reserve  /  Army  /  E-1</v>
      </c>
      <c r="N474" s="17" t="str">
        <f>IF(RIGHT(StatusBranchGrade[[#This Row],[Which]], 1) = "2", StatusBranchGrade[[#This Row],[Key0]], "")</f>
        <v>Full-time Reserve  /  Army</v>
      </c>
      <c r="O474" s="17" t="s">
        <v>301</v>
      </c>
      <c r="P474" s="17"/>
      <c r="Q474" s="63">
        <f>--ISNUMBER(IF(StatusBranchGrade[[#This Row],[Sponsor0]] = 'Calculation Worksheet'!$AV$6 &amp; "  /  " &amp; 'Calculation Worksheet'!$AV$7, 1, ""))</f>
        <v>0</v>
      </c>
      <c r="R474" s="63" t="str">
        <f>IF(StatusBranchGrade[[#This Row],[S1]] = 1, COUNTIF($Q$3:Q474, 1), "")</f>
        <v/>
      </c>
      <c r="S474" s="63" t="str">
        <f>IFERROR(INDEX(StatusBranchGrade[Rank/Grade], MATCH(ROWS($R$3:R474)-1, StatusBranchGrade[S2], 0)), "") &amp; ""</f>
        <v/>
      </c>
      <c r="T474" s="63">
        <f>--ISNUMBER(IF(StatusBranchGrade[[#This Row],[Spouse0]] = 'Calculation Worksheet'!$CG$6 &amp; "  /  " &amp; 'Calculation Worksheet'!$CG$7, 1, ""))</f>
        <v>0</v>
      </c>
      <c r="U474" s="63" t="str">
        <f>IF(StatusBranchGrade[[#This Row],[T1]] = 1, COUNTIF($T$3:T474, 1), "")</f>
        <v/>
      </c>
      <c r="V474" s="63" t="str">
        <f>IFERROR(INDEX(StatusBranchGrade[Rank/Grade], MATCH(ROWS($U$3:U474)-1, StatusBranchGrade[T2], 0)), "") &amp; ""</f>
        <v/>
      </c>
      <c r="W474" s="63"/>
    </row>
    <row r="475" spans="1:23" x14ac:dyDescent="0.25">
      <c r="A475">
        <v>6</v>
      </c>
      <c r="B475" t="s">
        <v>218</v>
      </c>
      <c r="C475" t="s">
        <v>180</v>
      </c>
      <c r="D475" t="s">
        <v>104</v>
      </c>
      <c r="E475" t="str">
        <f>IF(StatusBranchGrade[[#This Row],[Status]] = "CYS", "DoD", StatusBranchGrade[[#This Row],[Rank]] &amp; "")</f>
        <v>E-2</v>
      </c>
      <c r="F475" t="s">
        <v>104</v>
      </c>
      <c r="G475" t="str">
        <f>IF(StatusBranchGrade[[#This Row],[Rank]] = StatusBranchGrade[[#This Row],[Grade]], StatusBranchGrade[[#This Row],[Rank]], StatusBranchGrade[[#This Row],[Grade]] &amp; "/" &amp; StatusBranchGrade[[#This Row],[Rank]]) &amp; ""</f>
        <v>E-2</v>
      </c>
      <c r="H47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E-2</v>
      </c>
      <c r="I475" s="17" t="str">
        <f>SUBSTITUTE(SUBSTITUTE(SUBSTITUTE(StatusBranchGrade[[#This Row],[Status]] &amp; "  /  " &amp; StatusBranchGrade[[#This Row],[Branch]] &amp; ";", "  /  ;", ";"), "  /  ;", ";"), ";", "")</f>
        <v>Full-time Reserve  /  Army</v>
      </c>
      <c r="J475">
        <v>12</v>
      </c>
      <c r="K475" s="17" t="str">
        <f>IF(LEFT(StatusBranchGrade[[#This Row],[Which]], 1) = "1", StatusBranchGrade[[#This Row],[Key]], "")</f>
        <v>Full-time Reserve  /  Army  /  E-2</v>
      </c>
      <c r="L475" s="17" t="str">
        <f>IF(LEFT(StatusBranchGrade[[#This Row],[Which]], 1) = "1", StatusBranchGrade[[#This Row],[Key0]], "")</f>
        <v>Full-time Reserve  /  Army</v>
      </c>
      <c r="M475" s="17" t="str">
        <f>IF(RIGHT(StatusBranchGrade[[#This Row],[Which]], 1) = "2", StatusBranchGrade[[#This Row],[Key]], "")</f>
        <v>Full-time Reserve  /  Army  /  E-2</v>
      </c>
      <c r="N475" s="17" t="str">
        <f>IF(RIGHT(StatusBranchGrade[[#This Row],[Which]], 1) = "2", StatusBranchGrade[[#This Row],[Key0]], "")</f>
        <v>Full-time Reserve  /  Army</v>
      </c>
      <c r="O475" s="17" t="s">
        <v>301</v>
      </c>
      <c r="P475" s="17"/>
      <c r="Q475" s="63">
        <f>--ISNUMBER(IF(StatusBranchGrade[[#This Row],[Sponsor0]] = 'Calculation Worksheet'!$AV$6 &amp; "  /  " &amp; 'Calculation Worksheet'!$AV$7, 1, ""))</f>
        <v>0</v>
      </c>
      <c r="R475" s="63" t="str">
        <f>IF(StatusBranchGrade[[#This Row],[S1]] = 1, COUNTIF($Q$3:Q475, 1), "")</f>
        <v/>
      </c>
      <c r="S475" s="63" t="str">
        <f>IFERROR(INDEX(StatusBranchGrade[Rank/Grade], MATCH(ROWS($R$3:R475)-1, StatusBranchGrade[S2], 0)), "") &amp; ""</f>
        <v/>
      </c>
      <c r="T475" s="63">
        <f>--ISNUMBER(IF(StatusBranchGrade[[#This Row],[Spouse0]] = 'Calculation Worksheet'!$CG$6 &amp; "  /  " &amp; 'Calculation Worksheet'!$CG$7, 1, ""))</f>
        <v>0</v>
      </c>
      <c r="U475" s="63" t="str">
        <f>IF(StatusBranchGrade[[#This Row],[T1]] = 1, COUNTIF($T$3:T475, 1), "")</f>
        <v/>
      </c>
      <c r="V475" s="63" t="str">
        <f>IFERROR(INDEX(StatusBranchGrade[Rank/Grade], MATCH(ROWS($U$3:U475)-1, StatusBranchGrade[T2], 0)), "") &amp; ""</f>
        <v/>
      </c>
      <c r="W475" s="63"/>
    </row>
    <row r="476" spans="1:23" x14ac:dyDescent="0.25">
      <c r="A476">
        <v>6</v>
      </c>
      <c r="B476" t="s">
        <v>218</v>
      </c>
      <c r="C476" t="s">
        <v>180</v>
      </c>
      <c r="D476" t="s">
        <v>103</v>
      </c>
      <c r="E476" t="str">
        <f>IF(StatusBranchGrade[[#This Row],[Status]] = "CYS", "DoD", StatusBranchGrade[[#This Row],[Rank]] &amp; "")</f>
        <v>E-3</v>
      </c>
      <c r="F476" t="s">
        <v>103</v>
      </c>
      <c r="G476" t="str">
        <f>IF(StatusBranchGrade[[#This Row],[Rank]] = StatusBranchGrade[[#This Row],[Grade]], StatusBranchGrade[[#This Row],[Rank]], StatusBranchGrade[[#This Row],[Grade]] &amp; "/" &amp; StatusBranchGrade[[#This Row],[Rank]]) &amp; ""</f>
        <v>E-3</v>
      </c>
      <c r="H47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E-3</v>
      </c>
      <c r="I476" s="17" t="str">
        <f>SUBSTITUTE(SUBSTITUTE(SUBSTITUTE(StatusBranchGrade[[#This Row],[Status]] &amp; "  /  " &amp; StatusBranchGrade[[#This Row],[Branch]] &amp; ";", "  /  ;", ";"), "  /  ;", ";"), ";", "")</f>
        <v>Full-time Reserve  /  Army</v>
      </c>
      <c r="J476">
        <v>12</v>
      </c>
      <c r="K476" s="17" t="str">
        <f>IF(LEFT(StatusBranchGrade[[#This Row],[Which]], 1) = "1", StatusBranchGrade[[#This Row],[Key]], "")</f>
        <v>Full-time Reserve  /  Army  /  E-3</v>
      </c>
      <c r="L476" s="17" t="str">
        <f>IF(LEFT(StatusBranchGrade[[#This Row],[Which]], 1) = "1", StatusBranchGrade[[#This Row],[Key0]], "")</f>
        <v>Full-time Reserve  /  Army</v>
      </c>
      <c r="M476" s="17" t="str">
        <f>IF(RIGHT(StatusBranchGrade[[#This Row],[Which]], 1) = "2", StatusBranchGrade[[#This Row],[Key]], "")</f>
        <v>Full-time Reserve  /  Army  /  E-3</v>
      </c>
      <c r="N476" s="17" t="str">
        <f>IF(RIGHT(StatusBranchGrade[[#This Row],[Which]], 1) = "2", StatusBranchGrade[[#This Row],[Key0]], "")</f>
        <v>Full-time Reserve  /  Army</v>
      </c>
      <c r="O476" s="17" t="s">
        <v>301</v>
      </c>
      <c r="P476" s="17"/>
      <c r="Q476" s="63">
        <f>--ISNUMBER(IF(StatusBranchGrade[[#This Row],[Sponsor0]] = 'Calculation Worksheet'!$AV$6 &amp; "  /  " &amp; 'Calculation Worksheet'!$AV$7, 1, ""))</f>
        <v>0</v>
      </c>
      <c r="R476" s="63" t="str">
        <f>IF(StatusBranchGrade[[#This Row],[S1]] = 1, COUNTIF($Q$3:Q476, 1), "")</f>
        <v/>
      </c>
      <c r="S476" s="63" t="str">
        <f>IFERROR(INDEX(StatusBranchGrade[Rank/Grade], MATCH(ROWS($R$3:R476)-1, StatusBranchGrade[S2], 0)), "") &amp; ""</f>
        <v/>
      </c>
      <c r="T476" s="63">
        <f>--ISNUMBER(IF(StatusBranchGrade[[#This Row],[Spouse0]] = 'Calculation Worksheet'!$CG$6 &amp; "  /  " &amp; 'Calculation Worksheet'!$CG$7, 1, ""))</f>
        <v>0</v>
      </c>
      <c r="U476" s="63" t="str">
        <f>IF(StatusBranchGrade[[#This Row],[T1]] = 1, COUNTIF($T$3:T476, 1), "")</f>
        <v/>
      </c>
      <c r="V476" s="63" t="str">
        <f>IFERROR(INDEX(StatusBranchGrade[Rank/Grade], MATCH(ROWS($U$3:U476)-1, StatusBranchGrade[T2], 0)), "") &amp; ""</f>
        <v/>
      </c>
      <c r="W476" s="63"/>
    </row>
    <row r="477" spans="1:23" x14ac:dyDescent="0.25">
      <c r="A477">
        <v>6</v>
      </c>
      <c r="B477" t="s">
        <v>218</v>
      </c>
      <c r="C477" t="s">
        <v>180</v>
      </c>
      <c r="D477" t="s">
        <v>102</v>
      </c>
      <c r="E477" t="str">
        <f>IF(StatusBranchGrade[[#This Row],[Status]] = "CYS", "DoD", StatusBranchGrade[[#This Row],[Rank]] &amp; "")</f>
        <v>E-4</v>
      </c>
      <c r="F477" t="s">
        <v>102</v>
      </c>
      <c r="G477" t="str">
        <f>IF(StatusBranchGrade[[#This Row],[Rank]] = StatusBranchGrade[[#This Row],[Grade]], StatusBranchGrade[[#This Row],[Rank]], StatusBranchGrade[[#This Row],[Grade]] &amp; "/" &amp; StatusBranchGrade[[#This Row],[Rank]]) &amp; ""</f>
        <v>E-4</v>
      </c>
      <c r="H47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E-4</v>
      </c>
      <c r="I477" s="17" t="str">
        <f>SUBSTITUTE(SUBSTITUTE(SUBSTITUTE(StatusBranchGrade[[#This Row],[Status]] &amp; "  /  " &amp; StatusBranchGrade[[#This Row],[Branch]] &amp; ";", "  /  ;", ";"), "  /  ;", ";"), ";", "")</f>
        <v>Full-time Reserve  /  Army</v>
      </c>
      <c r="J477">
        <v>12</v>
      </c>
      <c r="K477" s="17" t="str">
        <f>IF(LEFT(StatusBranchGrade[[#This Row],[Which]], 1) = "1", StatusBranchGrade[[#This Row],[Key]], "")</f>
        <v>Full-time Reserve  /  Army  /  E-4</v>
      </c>
      <c r="L477" s="17" t="str">
        <f>IF(LEFT(StatusBranchGrade[[#This Row],[Which]], 1) = "1", StatusBranchGrade[[#This Row],[Key0]], "")</f>
        <v>Full-time Reserve  /  Army</v>
      </c>
      <c r="M477" s="17" t="str">
        <f>IF(RIGHT(StatusBranchGrade[[#This Row],[Which]], 1) = "2", StatusBranchGrade[[#This Row],[Key]], "")</f>
        <v>Full-time Reserve  /  Army  /  E-4</v>
      </c>
      <c r="N477" s="17" t="str">
        <f>IF(RIGHT(StatusBranchGrade[[#This Row],[Which]], 1) = "2", StatusBranchGrade[[#This Row],[Key0]], "")</f>
        <v>Full-time Reserve  /  Army</v>
      </c>
      <c r="O477" s="17" t="s">
        <v>301</v>
      </c>
      <c r="P477" s="17"/>
      <c r="Q477" s="63">
        <f>--ISNUMBER(IF(StatusBranchGrade[[#This Row],[Sponsor0]] = 'Calculation Worksheet'!$AV$6 &amp; "  /  " &amp; 'Calculation Worksheet'!$AV$7, 1, ""))</f>
        <v>0</v>
      </c>
      <c r="R477" s="63" t="str">
        <f>IF(StatusBranchGrade[[#This Row],[S1]] = 1, COUNTIF($Q$3:Q477, 1), "")</f>
        <v/>
      </c>
      <c r="S477" s="63" t="str">
        <f>IFERROR(INDEX(StatusBranchGrade[Rank/Grade], MATCH(ROWS($R$3:R477)-1, StatusBranchGrade[S2], 0)), "") &amp; ""</f>
        <v/>
      </c>
      <c r="T477" s="63">
        <f>--ISNUMBER(IF(StatusBranchGrade[[#This Row],[Spouse0]] = 'Calculation Worksheet'!$CG$6 &amp; "  /  " &amp; 'Calculation Worksheet'!$CG$7, 1, ""))</f>
        <v>0</v>
      </c>
      <c r="U477" s="63" t="str">
        <f>IF(StatusBranchGrade[[#This Row],[T1]] = 1, COUNTIF($T$3:T477, 1), "")</f>
        <v/>
      </c>
      <c r="V477" s="63" t="str">
        <f>IFERROR(INDEX(StatusBranchGrade[Rank/Grade], MATCH(ROWS($U$3:U477)-1, StatusBranchGrade[T2], 0)), "") &amp; ""</f>
        <v/>
      </c>
      <c r="W477" s="63"/>
    </row>
    <row r="478" spans="1:23" x14ac:dyDescent="0.25">
      <c r="A478">
        <v>6</v>
      </c>
      <c r="B478" t="s">
        <v>218</v>
      </c>
      <c r="C478" t="s">
        <v>180</v>
      </c>
      <c r="D478" t="s">
        <v>101</v>
      </c>
      <c r="E478" t="str">
        <f>IF(StatusBranchGrade[[#This Row],[Status]] = "CYS", "DoD", StatusBranchGrade[[#This Row],[Rank]] &amp; "")</f>
        <v>E-5</v>
      </c>
      <c r="F478" t="s">
        <v>101</v>
      </c>
      <c r="G478" t="str">
        <f>IF(StatusBranchGrade[[#This Row],[Rank]] = StatusBranchGrade[[#This Row],[Grade]], StatusBranchGrade[[#This Row],[Rank]], StatusBranchGrade[[#This Row],[Grade]] &amp; "/" &amp; StatusBranchGrade[[#This Row],[Rank]]) &amp; ""</f>
        <v>E-5</v>
      </c>
      <c r="H47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E-5</v>
      </c>
      <c r="I478" s="17" t="str">
        <f>SUBSTITUTE(SUBSTITUTE(SUBSTITUTE(StatusBranchGrade[[#This Row],[Status]] &amp; "  /  " &amp; StatusBranchGrade[[#This Row],[Branch]] &amp; ";", "  /  ;", ";"), "  /  ;", ";"), ";", "")</f>
        <v>Full-time Reserve  /  Army</v>
      </c>
      <c r="J478">
        <v>12</v>
      </c>
      <c r="K478" s="17" t="str">
        <f>IF(LEFT(StatusBranchGrade[[#This Row],[Which]], 1) = "1", StatusBranchGrade[[#This Row],[Key]], "")</f>
        <v>Full-time Reserve  /  Army  /  E-5</v>
      </c>
      <c r="L478" s="17" t="str">
        <f>IF(LEFT(StatusBranchGrade[[#This Row],[Which]], 1) = "1", StatusBranchGrade[[#This Row],[Key0]], "")</f>
        <v>Full-time Reserve  /  Army</v>
      </c>
      <c r="M478" s="17" t="str">
        <f>IF(RIGHT(StatusBranchGrade[[#This Row],[Which]], 1) = "2", StatusBranchGrade[[#This Row],[Key]], "")</f>
        <v>Full-time Reserve  /  Army  /  E-5</v>
      </c>
      <c r="N478" s="17" t="str">
        <f>IF(RIGHT(StatusBranchGrade[[#This Row],[Which]], 1) = "2", StatusBranchGrade[[#This Row],[Key0]], "")</f>
        <v>Full-time Reserve  /  Army</v>
      </c>
      <c r="O478" s="17" t="s">
        <v>301</v>
      </c>
      <c r="P478" s="17"/>
      <c r="Q478" s="63">
        <f>--ISNUMBER(IF(StatusBranchGrade[[#This Row],[Sponsor0]] = 'Calculation Worksheet'!$AV$6 &amp; "  /  " &amp; 'Calculation Worksheet'!$AV$7, 1, ""))</f>
        <v>0</v>
      </c>
      <c r="R478" s="63" t="str">
        <f>IF(StatusBranchGrade[[#This Row],[S1]] = 1, COUNTIF($Q$3:Q478, 1), "")</f>
        <v/>
      </c>
      <c r="S478" s="63" t="str">
        <f>IFERROR(INDEX(StatusBranchGrade[Rank/Grade], MATCH(ROWS($R$3:R478)-1, StatusBranchGrade[S2], 0)), "") &amp; ""</f>
        <v/>
      </c>
      <c r="T478" s="63">
        <f>--ISNUMBER(IF(StatusBranchGrade[[#This Row],[Spouse0]] = 'Calculation Worksheet'!$CG$6 &amp; "  /  " &amp; 'Calculation Worksheet'!$CG$7, 1, ""))</f>
        <v>0</v>
      </c>
      <c r="U478" s="63" t="str">
        <f>IF(StatusBranchGrade[[#This Row],[T1]] = 1, COUNTIF($T$3:T478, 1), "")</f>
        <v/>
      </c>
      <c r="V478" s="63" t="str">
        <f>IFERROR(INDEX(StatusBranchGrade[Rank/Grade], MATCH(ROWS($U$3:U478)-1, StatusBranchGrade[T2], 0)), "") &amp; ""</f>
        <v/>
      </c>
      <c r="W478" s="63"/>
    </row>
    <row r="479" spans="1:23" x14ac:dyDescent="0.25">
      <c r="A479">
        <v>6</v>
      </c>
      <c r="B479" t="s">
        <v>218</v>
      </c>
      <c r="C479" t="s">
        <v>180</v>
      </c>
      <c r="D479" t="s">
        <v>100</v>
      </c>
      <c r="E479" t="str">
        <f>IF(StatusBranchGrade[[#This Row],[Status]] = "CYS", "DoD", StatusBranchGrade[[#This Row],[Rank]] &amp; "")</f>
        <v>E-6</v>
      </c>
      <c r="F479" t="s">
        <v>100</v>
      </c>
      <c r="G479" t="str">
        <f>IF(StatusBranchGrade[[#This Row],[Rank]] = StatusBranchGrade[[#This Row],[Grade]], StatusBranchGrade[[#This Row],[Rank]], StatusBranchGrade[[#This Row],[Grade]] &amp; "/" &amp; StatusBranchGrade[[#This Row],[Rank]]) &amp; ""</f>
        <v>E-6</v>
      </c>
      <c r="H47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E-6</v>
      </c>
      <c r="I479" s="17" t="str">
        <f>SUBSTITUTE(SUBSTITUTE(SUBSTITUTE(StatusBranchGrade[[#This Row],[Status]] &amp; "  /  " &amp; StatusBranchGrade[[#This Row],[Branch]] &amp; ";", "  /  ;", ";"), "  /  ;", ";"), ";", "")</f>
        <v>Full-time Reserve  /  Army</v>
      </c>
      <c r="J479">
        <v>12</v>
      </c>
      <c r="K479" s="17" t="str">
        <f>IF(LEFT(StatusBranchGrade[[#This Row],[Which]], 1) = "1", StatusBranchGrade[[#This Row],[Key]], "")</f>
        <v>Full-time Reserve  /  Army  /  E-6</v>
      </c>
      <c r="L479" s="17" t="str">
        <f>IF(LEFT(StatusBranchGrade[[#This Row],[Which]], 1) = "1", StatusBranchGrade[[#This Row],[Key0]], "")</f>
        <v>Full-time Reserve  /  Army</v>
      </c>
      <c r="M479" s="17" t="str">
        <f>IF(RIGHT(StatusBranchGrade[[#This Row],[Which]], 1) = "2", StatusBranchGrade[[#This Row],[Key]], "")</f>
        <v>Full-time Reserve  /  Army  /  E-6</v>
      </c>
      <c r="N479" s="17" t="str">
        <f>IF(RIGHT(StatusBranchGrade[[#This Row],[Which]], 1) = "2", StatusBranchGrade[[#This Row],[Key0]], "")</f>
        <v>Full-time Reserve  /  Army</v>
      </c>
      <c r="O479" s="17" t="s">
        <v>301</v>
      </c>
      <c r="P479" s="17"/>
      <c r="Q479" s="63">
        <f>--ISNUMBER(IF(StatusBranchGrade[[#This Row],[Sponsor0]] = 'Calculation Worksheet'!$AV$6 &amp; "  /  " &amp; 'Calculation Worksheet'!$AV$7, 1, ""))</f>
        <v>0</v>
      </c>
      <c r="R479" s="63" t="str">
        <f>IF(StatusBranchGrade[[#This Row],[S1]] = 1, COUNTIF($Q$3:Q479, 1), "")</f>
        <v/>
      </c>
      <c r="S479" s="63" t="str">
        <f>IFERROR(INDEX(StatusBranchGrade[Rank/Grade], MATCH(ROWS($R$3:R479)-1, StatusBranchGrade[S2], 0)), "") &amp; ""</f>
        <v/>
      </c>
      <c r="T479" s="63">
        <f>--ISNUMBER(IF(StatusBranchGrade[[#This Row],[Spouse0]] = 'Calculation Worksheet'!$CG$6 &amp; "  /  " &amp; 'Calculation Worksheet'!$CG$7, 1, ""))</f>
        <v>0</v>
      </c>
      <c r="U479" s="63" t="str">
        <f>IF(StatusBranchGrade[[#This Row],[T1]] = 1, COUNTIF($T$3:T479, 1), "")</f>
        <v/>
      </c>
      <c r="V479" s="63" t="str">
        <f>IFERROR(INDEX(StatusBranchGrade[Rank/Grade], MATCH(ROWS($U$3:U479)-1, StatusBranchGrade[T2], 0)), "") &amp; ""</f>
        <v/>
      </c>
      <c r="W479" s="63"/>
    </row>
    <row r="480" spans="1:23" x14ac:dyDescent="0.25">
      <c r="A480">
        <v>6</v>
      </c>
      <c r="B480" t="s">
        <v>218</v>
      </c>
      <c r="C480" t="s">
        <v>180</v>
      </c>
      <c r="D480" t="s">
        <v>99</v>
      </c>
      <c r="E480" t="str">
        <f>IF(StatusBranchGrade[[#This Row],[Status]] = "CYS", "DoD", StatusBranchGrade[[#This Row],[Rank]] &amp; "")</f>
        <v>E-7</v>
      </c>
      <c r="F480" t="s">
        <v>99</v>
      </c>
      <c r="G480" t="str">
        <f>IF(StatusBranchGrade[[#This Row],[Rank]] = StatusBranchGrade[[#This Row],[Grade]], StatusBranchGrade[[#This Row],[Rank]], StatusBranchGrade[[#This Row],[Grade]] &amp; "/" &amp; StatusBranchGrade[[#This Row],[Rank]]) &amp; ""</f>
        <v>E-7</v>
      </c>
      <c r="H48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E-7</v>
      </c>
      <c r="I480" s="17" t="str">
        <f>SUBSTITUTE(SUBSTITUTE(SUBSTITUTE(StatusBranchGrade[[#This Row],[Status]] &amp; "  /  " &amp; StatusBranchGrade[[#This Row],[Branch]] &amp; ";", "  /  ;", ";"), "  /  ;", ";"), ";", "")</f>
        <v>Full-time Reserve  /  Army</v>
      </c>
      <c r="J480">
        <v>12</v>
      </c>
      <c r="K480" s="17" t="str">
        <f>IF(LEFT(StatusBranchGrade[[#This Row],[Which]], 1) = "1", StatusBranchGrade[[#This Row],[Key]], "")</f>
        <v>Full-time Reserve  /  Army  /  E-7</v>
      </c>
      <c r="L480" s="17" t="str">
        <f>IF(LEFT(StatusBranchGrade[[#This Row],[Which]], 1) = "1", StatusBranchGrade[[#This Row],[Key0]], "")</f>
        <v>Full-time Reserve  /  Army</v>
      </c>
      <c r="M480" s="17" t="str">
        <f>IF(RIGHT(StatusBranchGrade[[#This Row],[Which]], 1) = "2", StatusBranchGrade[[#This Row],[Key]], "")</f>
        <v>Full-time Reserve  /  Army  /  E-7</v>
      </c>
      <c r="N480" s="17" t="str">
        <f>IF(RIGHT(StatusBranchGrade[[#This Row],[Which]], 1) = "2", StatusBranchGrade[[#This Row],[Key0]], "")</f>
        <v>Full-time Reserve  /  Army</v>
      </c>
      <c r="O480" s="17" t="s">
        <v>301</v>
      </c>
      <c r="P480" s="17"/>
      <c r="Q480" s="63">
        <f>--ISNUMBER(IF(StatusBranchGrade[[#This Row],[Sponsor0]] = 'Calculation Worksheet'!$AV$6 &amp; "  /  " &amp; 'Calculation Worksheet'!$AV$7, 1, ""))</f>
        <v>0</v>
      </c>
      <c r="R480" s="63" t="str">
        <f>IF(StatusBranchGrade[[#This Row],[S1]] = 1, COUNTIF($Q$3:Q480, 1), "")</f>
        <v/>
      </c>
      <c r="S480" s="63" t="str">
        <f>IFERROR(INDEX(StatusBranchGrade[Rank/Grade], MATCH(ROWS($R$3:R480)-1, StatusBranchGrade[S2], 0)), "") &amp; ""</f>
        <v/>
      </c>
      <c r="T480" s="63">
        <f>--ISNUMBER(IF(StatusBranchGrade[[#This Row],[Spouse0]] = 'Calculation Worksheet'!$CG$6 &amp; "  /  " &amp; 'Calculation Worksheet'!$CG$7, 1, ""))</f>
        <v>0</v>
      </c>
      <c r="U480" s="63" t="str">
        <f>IF(StatusBranchGrade[[#This Row],[T1]] = 1, COUNTIF($T$3:T480, 1), "")</f>
        <v/>
      </c>
      <c r="V480" s="63" t="str">
        <f>IFERROR(INDEX(StatusBranchGrade[Rank/Grade], MATCH(ROWS($U$3:U480)-1, StatusBranchGrade[T2], 0)), "") &amp; ""</f>
        <v/>
      </c>
      <c r="W480" s="63"/>
    </row>
    <row r="481" spans="1:23" x14ac:dyDescent="0.25">
      <c r="A481">
        <v>6</v>
      </c>
      <c r="B481" t="s">
        <v>218</v>
      </c>
      <c r="C481" t="s">
        <v>180</v>
      </c>
      <c r="D481" t="s">
        <v>98</v>
      </c>
      <c r="E481" t="str">
        <f>IF(StatusBranchGrade[[#This Row],[Status]] = "CYS", "DoD", StatusBranchGrade[[#This Row],[Rank]] &amp; "")</f>
        <v>E-8</v>
      </c>
      <c r="F481" t="s">
        <v>98</v>
      </c>
      <c r="G481" t="str">
        <f>IF(StatusBranchGrade[[#This Row],[Rank]] = StatusBranchGrade[[#This Row],[Grade]], StatusBranchGrade[[#This Row],[Rank]], StatusBranchGrade[[#This Row],[Grade]] &amp; "/" &amp; StatusBranchGrade[[#This Row],[Rank]]) &amp; ""</f>
        <v>E-8</v>
      </c>
      <c r="H48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E-8</v>
      </c>
      <c r="I481" s="17" t="str">
        <f>SUBSTITUTE(SUBSTITUTE(SUBSTITUTE(StatusBranchGrade[[#This Row],[Status]] &amp; "  /  " &amp; StatusBranchGrade[[#This Row],[Branch]] &amp; ";", "  /  ;", ";"), "  /  ;", ";"), ";", "")</f>
        <v>Full-time Reserve  /  Army</v>
      </c>
      <c r="J481">
        <v>12</v>
      </c>
      <c r="K481" s="17" t="str">
        <f>IF(LEFT(StatusBranchGrade[[#This Row],[Which]], 1) = "1", StatusBranchGrade[[#This Row],[Key]], "")</f>
        <v>Full-time Reserve  /  Army  /  E-8</v>
      </c>
      <c r="L481" s="17" t="str">
        <f>IF(LEFT(StatusBranchGrade[[#This Row],[Which]], 1) = "1", StatusBranchGrade[[#This Row],[Key0]], "")</f>
        <v>Full-time Reserve  /  Army</v>
      </c>
      <c r="M481" s="17" t="str">
        <f>IF(RIGHT(StatusBranchGrade[[#This Row],[Which]], 1) = "2", StatusBranchGrade[[#This Row],[Key]], "")</f>
        <v>Full-time Reserve  /  Army  /  E-8</v>
      </c>
      <c r="N481" s="17" t="str">
        <f>IF(RIGHT(StatusBranchGrade[[#This Row],[Which]], 1) = "2", StatusBranchGrade[[#This Row],[Key0]], "")</f>
        <v>Full-time Reserve  /  Army</v>
      </c>
      <c r="O481" s="17" t="s">
        <v>301</v>
      </c>
      <c r="P481" s="17"/>
      <c r="Q481" s="63">
        <f>--ISNUMBER(IF(StatusBranchGrade[[#This Row],[Sponsor0]] = 'Calculation Worksheet'!$AV$6 &amp; "  /  " &amp; 'Calculation Worksheet'!$AV$7, 1, ""))</f>
        <v>0</v>
      </c>
      <c r="R481" s="63" t="str">
        <f>IF(StatusBranchGrade[[#This Row],[S1]] = 1, COUNTIF($Q$3:Q481, 1), "")</f>
        <v/>
      </c>
      <c r="S481" s="63" t="str">
        <f>IFERROR(INDEX(StatusBranchGrade[Rank/Grade], MATCH(ROWS($R$3:R481)-1, StatusBranchGrade[S2], 0)), "") &amp; ""</f>
        <v/>
      </c>
      <c r="T481" s="63">
        <f>--ISNUMBER(IF(StatusBranchGrade[[#This Row],[Spouse0]] = 'Calculation Worksheet'!$CG$6 &amp; "  /  " &amp; 'Calculation Worksheet'!$CG$7, 1, ""))</f>
        <v>0</v>
      </c>
      <c r="U481" s="63" t="str">
        <f>IF(StatusBranchGrade[[#This Row],[T1]] = 1, COUNTIF($T$3:T481, 1), "")</f>
        <v/>
      </c>
      <c r="V481" s="63" t="str">
        <f>IFERROR(INDEX(StatusBranchGrade[Rank/Grade], MATCH(ROWS($U$3:U481)-1, StatusBranchGrade[T2], 0)), "") &amp; ""</f>
        <v/>
      </c>
      <c r="W481" s="63"/>
    </row>
    <row r="482" spans="1:23" x14ac:dyDescent="0.25">
      <c r="A482">
        <v>6</v>
      </c>
      <c r="B482" t="s">
        <v>218</v>
      </c>
      <c r="C482" t="s">
        <v>180</v>
      </c>
      <c r="D482" t="s">
        <v>97</v>
      </c>
      <c r="E482" t="str">
        <f>IF(StatusBranchGrade[[#This Row],[Status]] = "CYS", "DoD", StatusBranchGrade[[#This Row],[Rank]] &amp; "")</f>
        <v>E-9</v>
      </c>
      <c r="F482" t="s">
        <v>97</v>
      </c>
      <c r="G482" t="str">
        <f>IF(StatusBranchGrade[[#This Row],[Rank]] = StatusBranchGrade[[#This Row],[Grade]], StatusBranchGrade[[#This Row],[Rank]], StatusBranchGrade[[#This Row],[Grade]] &amp; "/" &amp; StatusBranchGrade[[#This Row],[Rank]]) &amp; ""</f>
        <v>E-9</v>
      </c>
      <c r="H48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E-9</v>
      </c>
      <c r="I482" s="17" t="str">
        <f>SUBSTITUTE(SUBSTITUTE(SUBSTITUTE(StatusBranchGrade[[#This Row],[Status]] &amp; "  /  " &amp; StatusBranchGrade[[#This Row],[Branch]] &amp; ";", "  /  ;", ";"), "  /  ;", ";"), ";", "")</f>
        <v>Full-time Reserve  /  Army</v>
      </c>
      <c r="J482">
        <v>12</v>
      </c>
      <c r="K482" s="17" t="str">
        <f>IF(LEFT(StatusBranchGrade[[#This Row],[Which]], 1) = "1", StatusBranchGrade[[#This Row],[Key]], "")</f>
        <v>Full-time Reserve  /  Army  /  E-9</v>
      </c>
      <c r="L482" s="17" t="str">
        <f>IF(LEFT(StatusBranchGrade[[#This Row],[Which]], 1) = "1", StatusBranchGrade[[#This Row],[Key0]], "")</f>
        <v>Full-time Reserve  /  Army</v>
      </c>
      <c r="M482" s="17" t="str">
        <f>IF(RIGHT(StatusBranchGrade[[#This Row],[Which]], 1) = "2", StatusBranchGrade[[#This Row],[Key]], "")</f>
        <v>Full-time Reserve  /  Army  /  E-9</v>
      </c>
      <c r="N482" s="17" t="str">
        <f>IF(RIGHT(StatusBranchGrade[[#This Row],[Which]], 1) = "2", StatusBranchGrade[[#This Row],[Key0]], "")</f>
        <v>Full-time Reserve  /  Army</v>
      </c>
      <c r="O482" s="17" t="s">
        <v>301</v>
      </c>
      <c r="P482" s="17"/>
      <c r="Q482" s="63">
        <f>--ISNUMBER(IF(StatusBranchGrade[[#This Row],[Sponsor0]] = 'Calculation Worksheet'!$AV$6 &amp; "  /  " &amp; 'Calculation Worksheet'!$AV$7, 1, ""))</f>
        <v>0</v>
      </c>
      <c r="R482" s="63" t="str">
        <f>IF(StatusBranchGrade[[#This Row],[S1]] = 1, COUNTIF($Q$3:Q482, 1), "")</f>
        <v/>
      </c>
      <c r="S482" s="63" t="str">
        <f>IFERROR(INDEX(StatusBranchGrade[Rank/Grade], MATCH(ROWS($R$3:R482)-1, StatusBranchGrade[S2], 0)), "") &amp; ""</f>
        <v/>
      </c>
      <c r="T482" s="63">
        <f>--ISNUMBER(IF(StatusBranchGrade[[#This Row],[Spouse0]] = 'Calculation Worksheet'!$CG$6 &amp; "  /  " &amp; 'Calculation Worksheet'!$CG$7, 1, ""))</f>
        <v>0</v>
      </c>
      <c r="U482" s="63" t="str">
        <f>IF(StatusBranchGrade[[#This Row],[T1]] = 1, COUNTIF($T$3:T482, 1), "")</f>
        <v/>
      </c>
      <c r="V482" s="63" t="str">
        <f>IFERROR(INDEX(StatusBranchGrade[Rank/Grade], MATCH(ROWS($U$3:U482)-1, StatusBranchGrade[T2], 0)), "") &amp; ""</f>
        <v/>
      </c>
      <c r="W482" s="63"/>
    </row>
    <row r="483" spans="1:23" x14ac:dyDescent="0.25">
      <c r="A483">
        <v>6</v>
      </c>
      <c r="B483" t="s">
        <v>218</v>
      </c>
      <c r="C483" t="s">
        <v>180</v>
      </c>
      <c r="D483" t="s">
        <v>92</v>
      </c>
      <c r="E483" t="str">
        <f>IF(StatusBranchGrade[[#This Row],[Status]] = "CYS", "DoD", StatusBranchGrade[[#This Row],[Rank]] &amp; "")</f>
        <v>W-5</v>
      </c>
      <c r="F483" t="s">
        <v>178</v>
      </c>
      <c r="G483" t="str">
        <f>IF(StatusBranchGrade[[#This Row],[Rank]] = StatusBranchGrade[[#This Row],[Grade]], StatusBranchGrade[[#This Row],[Rank]], StatusBranchGrade[[#This Row],[Grade]] &amp; "/" &amp; StatusBranchGrade[[#This Row],[Rank]]) &amp; ""</f>
        <v>MW5/W-5</v>
      </c>
      <c r="H48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MW5/W-5</v>
      </c>
      <c r="I483" s="17" t="str">
        <f>SUBSTITUTE(SUBSTITUTE(SUBSTITUTE(StatusBranchGrade[[#This Row],[Status]] &amp; "  /  " &amp; StatusBranchGrade[[#This Row],[Branch]] &amp; ";", "  /  ;", ";"), "  /  ;", ";"), ";", "")</f>
        <v>Full-time Reserve  /  Army</v>
      </c>
      <c r="J483">
        <v>12</v>
      </c>
      <c r="K483" s="17" t="str">
        <f>IF(LEFT(StatusBranchGrade[[#This Row],[Which]], 1) = "1", StatusBranchGrade[[#This Row],[Key]], "")</f>
        <v>Full-time Reserve  /  Army  /  MW5/W-5</v>
      </c>
      <c r="L483" s="17" t="str">
        <f>IF(LEFT(StatusBranchGrade[[#This Row],[Which]], 1) = "1", StatusBranchGrade[[#This Row],[Key0]], "")</f>
        <v>Full-time Reserve  /  Army</v>
      </c>
      <c r="M483" s="17" t="str">
        <f>IF(RIGHT(StatusBranchGrade[[#This Row],[Which]], 1) = "2", StatusBranchGrade[[#This Row],[Key]], "")</f>
        <v>Full-time Reserve  /  Army  /  MW5/W-5</v>
      </c>
      <c r="N483" s="17" t="str">
        <f>IF(RIGHT(StatusBranchGrade[[#This Row],[Which]], 1) = "2", StatusBranchGrade[[#This Row],[Key0]], "")</f>
        <v>Full-time Reserve  /  Army</v>
      </c>
      <c r="O483" s="17" t="s">
        <v>301</v>
      </c>
      <c r="P483" s="17"/>
      <c r="Q483" s="63">
        <f>--ISNUMBER(IF(StatusBranchGrade[[#This Row],[Sponsor0]] = 'Calculation Worksheet'!$AV$6 &amp; "  /  " &amp; 'Calculation Worksheet'!$AV$7, 1, ""))</f>
        <v>0</v>
      </c>
      <c r="R483" s="63" t="str">
        <f>IF(StatusBranchGrade[[#This Row],[S1]] = 1, COUNTIF($Q$3:Q483, 1), "")</f>
        <v/>
      </c>
      <c r="S483" s="63" t="str">
        <f>IFERROR(INDEX(StatusBranchGrade[Rank/Grade], MATCH(ROWS($R$3:R483)-1, StatusBranchGrade[S2], 0)), "") &amp; ""</f>
        <v/>
      </c>
      <c r="T483" s="63">
        <f>--ISNUMBER(IF(StatusBranchGrade[[#This Row],[Spouse0]] = 'Calculation Worksheet'!$CG$6 &amp; "  /  " &amp; 'Calculation Worksheet'!$CG$7, 1, ""))</f>
        <v>0</v>
      </c>
      <c r="U483" s="63" t="str">
        <f>IF(StatusBranchGrade[[#This Row],[T1]] = 1, COUNTIF($T$3:T483, 1), "")</f>
        <v/>
      </c>
      <c r="V483" s="63" t="str">
        <f>IFERROR(INDEX(StatusBranchGrade[Rank/Grade], MATCH(ROWS($U$3:U483)-1, StatusBranchGrade[T2], 0)), "") &amp; ""</f>
        <v/>
      </c>
      <c r="W483" s="63"/>
    </row>
    <row r="484" spans="1:23" x14ac:dyDescent="0.25">
      <c r="A484">
        <v>6</v>
      </c>
      <c r="B484" t="s">
        <v>218</v>
      </c>
      <c r="C484" t="s">
        <v>180</v>
      </c>
      <c r="D484" t="s">
        <v>91</v>
      </c>
      <c r="E484" t="str">
        <f>IF(StatusBranchGrade[[#This Row],[Status]] = "CYS", "DoD", StatusBranchGrade[[#This Row],[Rank]] &amp; "")</f>
        <v>O-1</v>
      </c>
      <c r="F484" t="s">
        <v>91</v>
      </c>
      <c r="G484" t="str">
        <f>IF(StatusBranchGrade[[#This Row],[Rank]] = StatusBranchGrade[[#This Row],[Grade]], StatusBranchGrade[[#This Row],[Rank]], StatusBranchGrade[[#This Row],[Grade]] &amp; "/" &amp; StatusBranchGrade[[#This Row],[Rank]]) &amp; ""</f>
        <v>O-1</v>
      </c>
      <c r="H48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O-1</v>
      </c>
      <c r="I484" s="17" t="str">
        <f>SUBSTITUTE(SUBSTITUTE(SUBSTITUTE(StatusBranchGrade[[#This Row],[Status]] &amp; "  /  " &amp; StatusBranchGrade[[#This Row],[Branch]] &amp; ";", "  /  ;", ";"), "  /  ;", ";"), ";", "")</f>
        <v>Full-time Reserve  /  Army</v>
      </c>
      <c r="J484">
        <v>12</v>
      </c>
      <c r="K484" s="17" t="str">
        <f>IF(LEFT(StatusBranchGrade[[#This Row],[Which]], 1) = "1", StatusBranchGrade[[#This Row],[Key]], "")</f>
        <v>Full-time Reserve  /  Army  /  O-1</v>
      </c>
      <c r="L484" s="17" t="str">
        <f>IF(LEFT(StatusBranchGrade[[#This Row],[Which]], 1) = "1", StatusBranchGrade[[#This Row],[Key0]], "")</f>
        <v>Full-time Reserve  /  Army</v>
      </c>
      <c r="M484" s="17" t="str">
        <f>IF(RIGHT(StatusBranchGrade[[#This Row],[Which]], 1) = "2", StatusBranchGrade[[#This Row],[Key]], "")</f>
        <v>Full-time Reserve  /  Army  /  O-1</v>
      </c>
      <c r="N484" s="17" t="str">
        <f>IF(RIGHT(StatusBranchGrade[[#This Row],[Which]], 1) = "2", StatusBranchGrade[[#This Row],[Key0]], "")</f>
        <v>Full-time Reserve  /  Army</v>
      </c>
      <c r="O484" s="17" t="s">
        <v>301</v>
      </c>
      <c r="P484" s="17"/>
      <c r="Q484" s="63">
        <f>--ISNUMBER(IF(StatusBranchGrade[[#This Row],[Sponsor0]] = 'Calculation Worksheet'!$AV$6 &amp; "  /  " &amp; 'Calculation Worksheet'!$AV$7, 1, ""))</f>
        <v>0</v>
      </c>
      <c r="R484" s="63" t="str">
        <f>IF(StatusBranchGrade[[#This Row],[S1]] = 1, COUNTIF($Q$3:Q484, 1), "")</f>
        <v/>
      </c>
      <c r="S484" s="63" t="str">
        <f>IFERROR(INDEX(StatusBranchGrade[Rank/Grade], MATCH(ROWS($R$3:R484)-1, StatusBranchGrade[S2], 0)), "") &amp; ""</f>
        <v/>
      </c>
      <c r="T484" s="63">
        <f>--ISNUMBER(IF(StatusBranchGrade[[#This Row],[Spouse0]] = 'Calculation Worksheet'!$CG$6 &amp; "  /  " &amp; 'Calculation Worksheet'!$CG$7, 1, ""))</f>
        <v>0</v>
      </c>
      <c r="U484" s="63" t="str">
        <f>IF(StatusBranchGrade[[#This Row],[T1]] = 1, COUNTIF($T$3:T484, 1), "")</f>
        <v/>
      </c>
      <c r="V484" s="63" t="str">
        <f>IFERROR(INDEX(StatusBranchGrade[Rank/Grade], MATCH(ROWS($U$3:U484)-1, StatusBranchGrade[T2], 0)), "") &amp; ""</f>
        <v/>
      </c>
      <c r="W484" s="63"/>
    </row>
    <row r="485" spans="1:23" x14ac:dyDescent="0.25">
      <c r="A485">
        <v>6</v>
      </c>
      <c r="B485" t="s">
        <v>218</v>
      </c>
      <c r="C485" t="s">
        <v>180</v>
      </c>
      <c r="D485" s="75" t="s">
        <v>10</v>
      </c>
      <c r="E485" s="75" t="str">
        <f>IF(StatusBranchGrade[[#This Row],[Status]] = "CYS", "DoD", StatusBranchGrade[[#This Row],[Rank]] &amp; "")</f>
        <v>O1E</v>
      </c>
      <c r="F485" s="75" t="s">
        <v>91</v>
      </c>
      <c r="G485" s="75" t="str">
        <f>IF(StatusBranchGrade[[#This Row],[Rank]] = StatusBranchGrade[[#This Row],[Grade]], StatusBranchGrade[[#This Row],[Rank]], StatusBranchGrade[[#This Row],[Grade]] &amp; "/" &amp; StatusBranchGrade[[#This Row],[Rank]]) &amp; ""</f>
        <v>O-1/O1E</v>
      </c>
      <c r="H48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O-1/O1E</v>
      </c>
      <c r="I485" s="17" t="str">
        <f>SUBSTITUTE(SUBSTITUTE(SUBSTITUTE(StatusBranchGrade[[#This Row],[Status]] &amp; "  /  " &amp; StatusBranchGrade[[#This Row],[Branch]] &amp; ";", "  /  ;", ";"), "  /  ;", ";"), ";", "")</f>
        <v>Full-time Reserve  /  Army</v>
      </c>
      <c r="J485">
        <v>12</v>
      </c>
      <c r="K485" s="17" t="str">
        <f>IF(LEFT(StatusBranchGrade[[#This Row],[Which]], 1) = "1", StatusBranchGrade[[#This Row],[Key]], "")</f>
        <v>Full-time Reserve  /  Army  /  O-1/O1E</v>
      </c>
      <c r="L485" s="17" t="str">
        <f>IF(LEFT(StatusBranchGrade[[#This Row],[Which]], 1) = "1", StatusBranchGrade[[#This Row],[Key0]], "")</f>
        <v>Full-time Reserve  /  Army</v>
      </c>
      <c r="M485" s="17" t="str">
        <f>IF(RIGHT(StatusBranchGrade[[#This Row],[Which]], 1) = "2", StatusBranchGrade[[#This Row],[Key]], "")</f>
        <v>Full-time Reserve  /  Army  /  O-1/O1E</v>
      </c>
      <c r="N485" s="17" t="str">
        <f>IF(RIGHT(StatusBranchGrade[[#This Row],[Which]], 1) = "2", StatusBranchGrade[[#This Row],[Key0]], "")</f>
        <v>Full-time Reserve  /  Army</v>
      </c>
      <c r="O485" s="17" t="s">
        <v>301</v>
      </c>
      <c r="P485" s="17"/>
      <c r="Q485" s="63">
        <f>--ISNUMBER(IF(StatusBranchGrade[[#This Row],[Sponsor0]] = 'Calculation Worksheet'!$AV$6 &amp; "  /  " &amp; 'Calculation Worksheet'!$AV$7, 1, ""))</f>
        <v>0</v>
      </c>
      <c r="R485" s="63" t="str">
        <f>IF(StatusBranchGrade[[#This Row],[S1]] = 1, COUNTIF($Q$3:Q485, 1), "")</f>
        <v/>
      </c>
      <c r="S485" s="63" t="str">
        <f>IFERROR(INDEX(StatusBranchGrade[Rank/Grade], MATCH(ROWS($R$3:R485)-1, StatusBranchGrade[S2], 0)), "") &amp; ""</f>
        <v/>
      </c>
      <c r="T485" s="63">
        <f>--ISNUMBER(IF(StatusBranchGrade[[#This Row],[Spouse0]] = 'Calculation Worksheet'!$CG$6 &amp; "  /  " &amp; 'Calculation Worksheet'!$CG$7, 1, ""))</f>
        <v>0</v>
      </c>
      <c r="U485" s="63" t="str">
        <f>IF(StatusBranchGrade[[#This Row],[T1]] = 1, COUNTIF($T$3:T485, 1), "")</f>
        <v/>
      </c>
      <c r="V485" s="63" t="str">
        <f>IFERROR(INDEX(StatusBranchGrade[Rank/Grade], MATCH(ROWS($U$3:U485)-1, StatusBranchGrade[T2], 0)), "") &amp; ""</f>
        <v/>
      </c>
      <c r="W485" s="63"/>
    </row>
    <row r="486" spans="1:23" x14ac:dyDescent="0.25">
      <c r="A486">
        <v>6</v>
      </c>
      <c r="B486" t="s">
        <v>218</v>
      </c>
      <c r="C486" t="s">
        <v>180</v>
      </c>
      <c r="D486" t="s">
        <v>82</v>
      </c>
      <c r="E486" t="str">
        <f>IF(StatusBranchGrade[[#This Row],[Status]] = "CYS", "DoD", StatusBranchGrade[[#This Row],[Rank]] &amp; "")</f>
        <v>O-10</v>
      </c>
      <c r="F486" t="s">
        <v>82</v>
      </c>
      <c r="G486" t="str">
        <f>IF(StatusBranchGrade[[#This Row],[Rank]] = StatusBranchGrade[[#This Row],[Grade]], StatusBranchGrade[[#This Row],[Rank]], StatusBranchGrade[[#This Row],[Grade]] &amp; "/" &amp; StatusBranchGrade[[#This Row],[Rank]]) &amp; ""</f>
        <v>O-10</v>
      </c>
      <c r="H48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O-10</v>
      </c>
      <c r="I486" s="17" t="str">
        <f>SUBSTITUTE(SUBSTITUTE(SUBSTITUTE(StatusBranchGrade[[#This Row],[Status]] &amp; "  /  " &amp; StatusBranchGrade[[#This Row],[Branch]] &amp; ";", "  /  ;", ";"), "  /  ;", ";"), ";", "")</f>
        <v>Full-time Reserve  /  Army</v>
      </c>
      <c r="J486">
        <v>12</v>
      </c>
      <c r="K486" s="17" t="str">
        <f>IF(LEFT(StatusBranchGrade[[#This Row],[Which]], 1) = "1", StatusBranchGrade[[#This Row],[Key]], "")</f>
        <v>Full-time Reserve  /  Army  /  O-10</v>
      </c>
      <c r="L486" s="17" t="str">
        <f>IF(LEFT(StatusBranchGrade[[#This Row],[Which]], 1) = "1", StatusBranchGrade[[#This Row],[Key0]], "")</f>
        <v>Full-time Reserve  /  Army</v>
      </c>
      <c r="M486" s="17" t="str">
        <f>IF(RIGHT(StatusBranchGrade[[#This Row],[Which]], 1) = "2", StatusBranchGrade[[#This Row],[Key]], "")</f>
        <v>Full-time Reserve  /  Army  /  O-10</v>
      </c>
      <c r="N486" s="17" t="str">
        <f>IF(RIGHT(StatusBranchGrade[[#This Row],[Which]], 1) = "2", StatusBranchGrade[[#This Row],[Key0]], "")</f>
        <v>Full-time Reserve  /  Army</v>
      </c>
      <c r="O486" s="17" t="s">
        <v>301</v>
      </c>
      <c r="P486" s="17"/>
      <c r="Q486" s="63">
        <f>--ISNUMBER(IF(StatusBranchGrade[[#This Row],[Sponsor0]] = 'Calculation Worksheet'!$AV$6 &amp; "  /  " &amp; 'Calculation Worksheet'!$AV$7, 1, ""))</f>
        <v>0</v>
      </c>
      <c r="R486" s="63" t="str">
        <f>IF(StatusBranchGrade[[#This Row],[S1]] = 1, COUNTIF($Q$3:Q486, 1), "")</f>
        <v/>
      </c>
      <c r="S486" s="63" t="str">
        <f>IFERROR(INDEX(StatusBranchGrade[Rank/Grade], MATCH(ROWS($R$3:R486)-1, StatusBranchGrade[S2], 0)), "") &amp; ""</f>
        <v/>
      </c>
      <c r="T486" s="63">
        <f>--ISNUMBER(IF(StatusBranchGrade[[#This Row],[Spouse0]] = 'Calculation Worksheet'!$CG$6 &amp; "  /  " &amp; 'Calculation Worksheet'!$CG$7, 1, ""))</f>
        <v>0</v>
      </c>
      <c r="U486" s="63" t="str">
        <f>IF(StatusBranchGrade[[#This Row],[T1]] = 1, COUNTIF($T$3:T486, 1), "")</f>
        <v/>
      </c>
      <c r="V486" s="63" t="str">
        <f>IFERROR(INDEX(StatusBranchGrade[Rank/Grade], MATCH(ROWS($U$3:U486)-1, StatusBranchGrade[T2], 0)), "") &amp; ""</f>
        <v/>
      </c>
      <c r="W486" s="63"/>
    </row>
    <row r="487" spans="1:23" x14ac:dyDescent="0.25">
      <c r="A487">
        <v>6</v>
      </c>
      <c r="B487" t="s">
        <v>218</v>
      </c>
      <c r="C487" t="s">
        <v>180</v>
      </c>
      <c r="D487" t="s">
        <v>90</v>
      </c>
      <c r="E487" t="str">
        <f>IF(StatusBranchGrade[[#This Row],[Status]] = "CYS", "DoD", StatusBranchGrade[[#This Row],[Rank]] &amp; "")</f>
        <v>O-2</v>
      </c>
      <c r="F487" t="s">
        <v>90</v>
      </c>
      <c r="G487" t="str">
        <f>IF(StatusBranchGrade[[#This Row],[Rank]] = StatusBranchGrade[[#This Row],[Grade]], StatusBranchGrade[[#This Row],[Rank]], StatusBranchGrade[[#This Row],[Grade]] &amp; "/" &amp; StatusBranchGrade[[#This Row],[Rank]]) &amp; ""</f>
        <v>O-2</v>
      </c>
      <c r="H48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O-2</v>
      </c>
      <c r="I487" s="17" t="str">
        <f>SUBSTITUTE(SUBSTITUTE(SUBSTITUTE(StatusBranchGrade[[#This Row],[Status]] &amp; "  /  " &amp; StatusBranchGrade[[#This Row],[Branch]] &amp; ";", "  /  ;", ";"), "  /  ;", ";"), ";", "")</f>
        <v>Full-time Reserve  /  Army</v>
      </c>
      <c r="J487">
        <v>12</v>
      </c>
      <c r="K487" s="17" t="str">
        <f>IF(LEFT(StatusBranchGrade[[#This Row],[Which]], 1) = "1", StatusBranchGrade[[#This Row],[Key]], "")</f>
        <v>Full-time Reserve  /  Army  /  O-2</v>
      </c>
      <c r="L487" s="17" t="str">
        <f>IF(LEFT(StatusBranchGrade[[#This Row],[Which]], 1) = "1", StatusBranchGrade[[#This Row],[Key0]], "")</f>
        <v>Full-time Reserve  /  Army</v>
      </c>
      <c r="M487" s="17" t="str">
        <f>IF(RIGHT(StatusBranchGrade[[#This Row],[Which]], 1) = "2", StatusBranchGrade[[#This Row],[Key]], "")</f>
        <v>Full-time Reserve  /  Army  /  O-2</v>
      </c>
      <c r="N487" s="17" t="str">
        <f>IF(RIGHT(StatusBranchGrade[[#This Row],[Which]], 1) = "2", StatusBranchGrade[[#This Row],[Key0]], "")</f>
        <v>Full-time Reserve  /  Army</v>
      </c>
      <c r="O487" s="17" t="s">
        <v>301</v>
      </c>
      <c r="P487" s="17"/>
      <c r="Q487" s="63">
        <f>--ISNUMBER(IF(StatusBranchGrade[[#This Row],[Sponsor0]] = 'Calculation Worksheet'!$AV$6 &amp; "  /  " &amp; 'Calculation Worksheet'!$AV$7, 1, ""))</f>
        <v>0</v>
      </c>
      <c r="R487" s="63" t="str">
        <f>IF(StatusBranchGrade[[#This Row],[S1]] = 1, COUNTIF($Q$3:Q487, 1), "")</f>
        <v/>
      </c>
      <c r="S487" s="63" t="str">
        <f>IFERROR(INDEX(StatusBranchGrade[Rank/Grade], MATCH(ROWS($R$3:R487)-1, StatusBranchGrade[S2], 0)), "") &amp; ""</f>
        <v/>
      </c>
      <c r="T487" s="63">
        <f>--ISNUMBER(IF(StatusBranchGrade[[#This Row],[Spouse0]] = 'Calculation Worksheet'!$CG$6 &amp; "  /  " &amp; 'Calculation Worksheet'!$CG$7, 1, ""))</f>
        <v>0</v>
      </c>
      <c r="U487" s="63" t="str">
        <f>IF(StatusBranchGrade[[#This Row],[T1]] = 1, COUNTIF($T$3:T487, 1), "")</f>
        <v/>
      </c>
      <c r="V487" s="63" t="str">
        <f>IFERROR(INDEX(StatusBranchGrade[Rank/Grade], MATCH(ROWS($U$3:U487)-1, StatusBranchGrade[T2], 0)), "") &amp; ""</f>
        <v/>
      </c>
      <c r="W487" s="63"/>
    </row>
    <row r="488" spans="1:23" x14ac:dyDescent="0.25">
      <c r="A488">
        <v>6</v>
      </c>
      <c r="B488" t="s">
        <v>218</v>
      </c>
      <c r="C488" t="s">
        <v>180</v>
      </c>
      <c r="D488" s="75" t="s">
        <v>11</v>
      </c>
      <c r="E488" s="75" t="str">
        <f>IF(StatusBranchGrade[[#This Row],[Status]] = "CYS", "DoD", StatusBranchGrade[[#This Row],[Rank]] &amp; "")</f>
        <v>O2E</v>
      </c>
      <c r="F488" s="75" t="s">
        <v>90</v>
      </c>
      <c r="G488" s="75" t="str">
        <f>IF(StatusBranchGrade[[#This Row],[Rank]] = StatusBranchGrade[[#This Row],[Grade]], StatusBranchGrade[[#This Row],[Rank]], StatusBranchGrade[[#This Row],[Grade]] &amp; "/" &amp; StatusBranchGrade[[#This Row],[Rank]]) &amp; ""</f>
        <v>O-2/O2E</v>
      </c>
      <c r="H48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O-2/O2E</v>
      </c>
      <c r="I488" s="17" t="str">
        <f>SUBSTITUTE(SUBSTITUTE(SUBSTITUTE(StatusBranchGrade[[#This Row],[Status]] &amp; "  /  " &amp; StatusBranchGrade[[#This Row],[Branch]] &amp; ";", "  /  ;", ";"), "  /  ;", ";"), ";", "")</f>
        <v>Full-time Reserve  /  Army</v>
      </c>
      <c r="J488">
        <v>12</v>
      </c>
      <c r="K488" s="17" t="str">
        <f>IF(LEFT(StatusBranchGrade[[#This Row],[Which]], 1) = "1", StatusBranchGrade[[#This Row],[Key]], "")</f>
        <v>Full-time Reserve  /  Army  /  O-2/O2E</v>
      </c>
      <c r="L488" s="17" t="str">
        <f>IF(LEFT(StatusBranchGrade[[#This Row],[Which]], 1) = "1", StatusBranchGrade[[#This Row],[Key0]], "")</f>
        <v>Full-time Reserve  /  Army</v>
      </c>
      <c r="M488" s="17" t="str">
        <f>IF(RIGHT(StatusBranchGrade[[#This Row],[Which]], 1) = "2", StatusBranchGrade[[#This Row],[Key]], "")</f>
        <v>Full-time Reserve  /  Army  /  O-2/O2E</v>
      </c>
      <c r="N488" s="17" t="str">
        <f>IF(RIGHT(StatusBranchGrade[[#This Row],[Which]], 1) = "2", StatusBranchGrade[[#This Row],[Key0]], "")</f>
        <v>Full-time Reserve  /  Army</v>
      </c>
      <c r="O488" s="17" t="s">
        <v>301</v>
      </c>
      <c r="P488" s="17"/>
      <c r="Q488" s="63">
        <f>--ISNUMBER(IF(StatusBranchGrade[[#This Row],[Sponsor0]] = 'Calculation Worksheet'!$AV$6 &amp; "  /  " &amp; 'Calculation Worksheet'!$AV$7, 1, ""))</f>
        <v>0</v>
      </c>
      <c r="R488" s="63" t="str">
        <f>IF(StatusBranchGrade[[#This Row],[S1]] = 1, COUNTIF($Q$3:Q488, 1), "")</f>
        <v/>
      </c>
      <c r="S488" s="63" t="str">
        <f>IFERROR(INDEX(StatusBranchGrade[Rank/Grade], MATCH(ROWS($R$3:R488)-1, StatusBranchGrade[S2], 0)), "") &amp; ""</f>
        <v/>
      </c>
      <c r="T488" s="63">
        <f>--ISNUMBER(IF(StatusBranchGrade[[#This Row],[Spouse0]] = 'Calculation Worksheet'!$CG$6 &amp; "  /  " &amp; 'Calculation Worksheet'!$CG$7, 1, ""))</f>
        <v>0</v>
      </c>
      <c r="U488" s="63" t="str">
        <f>IF(StatusBranchGrade[[#This Row],[T1]] = 1, COUNTIF($T$3:T488, 1), "")</f>
        <v/>
      </c>
      <c r="V488" s="63" t="str">
        <f>IFERROR(INDEX(StatusBranchGrade[Rank/Grade], MATCH(ROWS($U$3:U488)-1, StatusBranchGrade[T2], 0)), "") &amp; ""</f>
        <v/>
      </c>
      <c r="W488" s="63"/>
    </row>
    <row r="489" spans="1:23" x14ac:dyDescent="0.25">
      <c r="A489">
        <v>6</v>
      </c>
      <c r="B489" t="s">
        <v>218</v>
      </c>
      <c r="C489" t="s">
        <v>180</v>
      </c>
      <c r="D489" t="s">
        <v>89</v>
      </c>
      <c r="E489" t="str">
        <f>IF(StatusBranchGrade[[#This Row],[Status]] = "CYS", "DoD", StatusBranchGrade[[#This Row],[Rank]] &amp; "")</f>
        <v>O-3</v>
      </c>
      <c r="F489" t="s">
        <v>89</v>
      </c>
      <c r="G489" t="str">
        <f>IF(StatusBranchGrade[[#This Row],[Rank]] = StatusBranchGrade[[#This Row],[Grade]], StatusBranchGrade[[#This Row],[Rank]], StatusBranchGrade[[#This Row],[Grade]] &amp; "/" &amp; StatusBranchGrade[[#This Row],[Rank]]) &amp; ""</f>
        <v>O-3</v>
      </c>
      <c r="H48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O-3</v>
      </c>
      <c r="I489" s="17" t="str">
        <f>SUBSTITUTE(SUBSTITUTE(SUBSTITUTE(StatusBranchGrade[[#This Row],[Status]] &amp; "  /  " &amp; StatusBranchGrade[[#This Row],[Branch]] &amp; ";", "  /  ;", ";"), "  /  ;", ";"), ";", "")</f>
        <v>Full-time Reserve  /  Army</v>
      </c>
      <c r="J489">
        <v>12</v>
      </c>
      <c r="K489" s="17" t="str">
        <f>IF(LEFT(StatusBranchGrade[[#This Row],[Which]], 1) = "1", StatusBranchGrade[[#This Row],[Key]], "")</f>
        <v>Full-time Reserve  /  Army  /  O-3</v>
      </c>
      <c r="L489" s="17" t="str">
        <f>IF(LEFT(StatusBranchGrade[[#This Row],[Which]], 1) = "1", StatusBranchGrade[[#This Row],[Key0]], "")</f>
        <v>Full-time Reserve  /  Army</v>
      </c>
      <c r="M489" s="17" t="str">
        <f>IF(RIGHT(StatusBranchGrade[[#This Row],[Which]], 1) = "2", StatusBranchGrade[[#This Row],[Key]], "")</f>
        <v>Full-time Reserve  /  Army  /  O-3</v>
      </c>
      <c r="N489" s="17" t="str">
        <f>IF(RIGHT(StatusBranchGrade[[#This Row],[Which]], 1) = "2", StatusBranchGrade[[#This Row],[Key0]], "")</f>
        <v>Full-time Reserve  /  Army</v>
      </c>
      <c r="O489" s="17" t="s">
        <v>301</v>
      </c>
      <c r="P489" s="17"/>
      <c r="Q489" s="63">
        <f>--ISNUMBER(IF(StatusBranchGrade[[#This Row],[Sponsor0]] = 'Calculation Worksheet'!$AV$6 &amp; "  /  " &amp; 'Calculation Worksheet'!$AV$7, 1, ""))</f>
        <v>0</v>
      </c>
      <c r="R489" s="63" t="str">
        <f>IF(StatusBranchGrade[[#This Row],[S1]] = 1, COUNTIF($Q$3:Q489, 1), "")</f>
        <v/>
      </c>
      <c r="S489" s="63" t="str">
        <f>IFERROR(INDEX(StatusBranchGrade[Rank/Grade], MATCH(ROWS($R$3:R489)-1, StatusBranchGrade[S2], 0)), "") &amp; ""</f>
        <v/>
      </c>
      <c r="T489" s="63">
        <f>--ISNUMBER(IF(StatusBranchGrade[[#This Row],[Spouse0]] = 'Calculation Worksheet'!$CG$6 &amp; "  /  " &amp; 'Calculation Worksheet'!$CG$7, 1, ""))</f>
        <v>0</v>
      </c>
      <c r="U489" s="63" t="str">
        <f>IF(StatusBranchGrade[[#This Row],[T1]] = 1, COUNTIF($T$3:T489, 1), "")</f>
        <v/>
      </c>
      <c r="V489" s="63" t="str">
        <f>IFERROR(INDEX(StatusBranchGrade[Rank/Grade], MATCH(ROWS($U$3:U489)-1, StatusBranchGrade[T2], 0)), "") &amp; ""</f>
        <v/>
      </c>
      <c r="W489" s="63"/>
    </row>
    <row r="490" spans="1:23" x14ac:dyDescent="0.25">
      <c r="A490">
        <v>6</v>
      </c>
      <c r="B490" t="s">
        <v>218</v>
      </c>
      <c r="C490" t="s">
        <v>180</v>
      </c>
      <c r="D490" s="75" t="s">
        <v>12</v>
      </c>
      <c r="E490" s="75" t="str">
        <f>IF(StatusBranchGrade[[#This Row],[Status]] = "CYS", "DoD", StatusBranchGrade[[#This Row],[Rank]] &amp; "")</f>
        <v>O3E</v>
      </c>
      <c r="F490" s="75" t="s">
        <v>89</v>
      </c>
      <c r="G490" s="75" t="str">
        <f>IF(StatusBranchGrade[[#This Row],[Rank]] = StatusBranchGrade[[#This Row],[Grade]], StatusBranchGrade[[#This Row],[Rank]], StatusBranchGrade[[#This Row],[Grade]] &amp; "/" &amp; StatusBranchGrade[[#This Row],[Rank]]) &amp; ""</f>
        <v>O-3/O3E</v>
      </c>
      <c r="H49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O-3/O3E</v>
      </c>
      <c r="I490" s="17" t="str">
        <f>SUBSTITUTE(SUBSTITUTE(SUBSTITUTE(StatusBranchGrade[[#This Row],[Status]] &amp; "  /  " &amp; StatusBranchGrade[[#This Row],[Branch]] &amp; ";", "  /  ;", ";"), "  /  ;", ";"), ";", "")</f>
        <v>Full-time Reserve  /  Army</v>
      </c>
      <c r="J490">
        <v>12</v>
      </c>
      <c r="K490" s="17" t="str">
        <f>IF(LEFT(StatusBranchGrade[[#This Row],[Which]], 1) = "1", StatusBranchGrade[[#This Row],[Key]], "")</f>
        <v>Full-time Reserve  /  Army  /  O-3/O3E</v>
      </c>
      <c r="L490" s="17" t="str">
        <f>IF(LEFT(StatusBranchGrade[[#This Row],[Which]], 1) = "1", StatusBranchGrade[[#This Row],[Key0]], "")</f>
        <v>Full-time Reserve  /  Army</v>
      </c>
      <c r="M490" s="17" t="str">
        <f>IF(RIGHT(StatusBranchGrade[[#This Row],[Which]], 1) = "2", StatusBranchGrade[[#This Row],[Key]], "")</f>
        <v>Full-time Reserve  /  Army  /  O-3/O3E</v>
      </c>
      <c r="N490" s="17" t="str">
        <f>IF(RIGHT(StatusBranchGrade[[#This Row],[Which]], 1) = "2", StatusBranchGrade[[#This Row],[Key0]], "")</f>
        <v>Full-time Reserve  /  Army</v>
      </c>
      <c r="O490" s="17" t="s">
        <v>301</v>
      </c>
      <c r="P490" s="17"/>
      <c r="Q490" s="63">
        <f>--ISNUMBER(IF(StatusBranchGrade[[#This Row],[Sponsor0]] = 'Calculation Worksheet'!$AV$6 &amp; "  /  " &amp; 'Calculation Worksheet'!$AV$7, 1, ""))</f>
        <v>0</v>
      </c>
      <c r="R490" s="63" t="str">
        <f>IF(StatusBranchGrade[[#This Row],[S1]] = 1, COUNTIF($Q$3:Q490, 1), "")</f>
        <v/>
      </c>
      <c r="S490" s="63" t="str">
        <f>IFERROR(INDEX(StatusBranchGrade[Rank/Grade], MATCH(ROWS($R$3:R490)-1, StatusBranchGrade[S2], 0)), "") &amp; ""</f>
        <v/>
      </c>
      <c r="T490" s="63">
        <f>--ISNUMBER(IF(StatusBranchGrade[[#This Row],[Spouse0]] = 'Calculation Worksheet'!$CG$6 &amp; "  /  " &amp; 'Calculation Worksheet'!$CG$7, 1, ""))</f>
        <v>0</v>
      </c>
      <c r="U490" s="63" t="str">
        <f>IF(StatusBranchGrade[[#This Row],[T1]] = 1, COUNTIF($T$3:T490, 1), "")</f>
        <v/>
      </c>
      <c r="V490" s="63" t="str">
        <f>IFERROR(INDEX(StatusBranchGrade[Rank/Grade], MATCH(ROWS($U$3:U490)-1, StatusBranchGrade[T2], 0)), "") &amp; ""</f>
        <v/>
      </c>
      <c r="W490" s="63"/>
    </row>
    <row r="491" spans="1:23" x14ac:dyDescent="0.25">
      <c r="A491">
        <v>6</v>
      </c>
      <c r="B491" t="s">
        <v>218</v>
      </c>
      <c r="C491" t="s">
        <v>180</v>
      </c>
      <c r="D491" t="s">
        <v>88</v>
      </c>
      <c r="E491" t="str">
        <f>IF(StatusBranchGrade[[#This Row],[Status]] = "CYS", "DoD", StatusBranchGrade[[#This Row],[Rank]] &amp; "")</f>
        <v>O-4</v>
      </c>
      <c r="F491" t="s">
        <v>88</v>
      </c>
      <c r="G491" t="str">
        <f>IF(StatusBranchGrade[[#This Row],[Rank]] = StatusBranchGrade[[#This Row],[Grade]], StatusBranchGrade[[#This Row],[Rank]], StatusBranchGrade[[#This Row],[Grade]] &amp; "/" &amp; StatusBranchGrade[[#This Row],[Rank]]) &amp; ""</f>
        <v>O-4</v>
      </c>
      <c r="H49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O-4</v>
      </c>
      <c r="I491" s="17" t="str">
        <f>SUBSTITUTE(SUBSTITUTE(SUBSTITUTE(StatusBranchGrade[[#This Row],[Status]] &amp; "  /  " &amp; StatusBranchGrade[[#This Row],[Branch]] &amp; ";", "  /  ;", ";"), "  /  ;", ";"), ";", "")</f>
        <v>Full-time Reserve  /  Army</v>
      </c>
      <c r="J491">
        <v>12</v>
      </c>
      <c r="K491" s="17" t="str">
        <f>IF(LEFT(StatusBranchGrade[[#This Row],[Which]], 1) = "1", StatusBranchGrade[[#This Row],[Key]], "")</f>
        <v>Full-time Reserve  /  Army  /  O-4</v>
      </c>
      <c r="L491" s="17" t="str">
        <f>IF(LEFT(StatusBranchGrade[[#This Row],[Which]], 1) = "1", StatusBranchGrade[[#This Row],[Key0]], "")</f>
        <v>Full-time Reserve  /  Army</v>
      </c>
      <c r="M491" s="17" t="str">
        <f>IF(RIGHT(StatusBranchGrade[[#This Row],[Which]], 1) = "2", StatusBranchGrade[[#This Row],[Key]], "")</f>
        <v>Full-time Reserve  /  Army  /  O-4</v>
      </c>
      <c r="N491" s="17" t="str">
        <f>IF(RIGHT(StatusBranchGrade[[#This Row],[Which]], 1) = "2", StatusBranchGrade[[#This Row],[Key0]], "")</f>
        <v>Full-time Reserve  /  Army</v>
      </c>
      <c r="O491" s="17" t="s">
        <v>301</v>
      </c>
      <c r="P491" s="17"/>
      <c r="Q491" s="63">
        <f>--ISNUMBER(IF(StatusBranchGrade[[#This Row],[Sponsor0]] = 'Calculation Worksheet'!$AV$6 &amp; "  /  " &amp; 'Calculation Worksheet'!$AV$7, 1, ""))</f>
        <v>0</v>
      </c>
      <c r="R491" s="63" t="str">
        <f>IF(StatusBranchGrade[[#This Row],[S1]] = 1, COUNTIF($Q$3:Q491, 1), "")</f>
        <v/>
      </c>
      <c r="S491" s="63" t="str">
        <f>IFERROR(INDEX(StatusBranchGrade[Rank/Grade], MATCH(ROWS($R$3:R491)-1, StatusBranchGrade[S2], 0)), "") &amp; ""</f>
        <v/>
      </c>
      <c r="T491" s="63">
        <f>--ISNUMBER(IF(StatusBranchGrade[[#This Row],[Spouse0]] = 'Calculation Worksheet'!$CG$6 &amp; "  /  " &amp; 'Calculation Worksheet'!$CG$7, 1, ""))</f>
        <v>0</v>
      </c>
      <c r="U491" s="63" t="str">
        <f>IF(StatusBranchGrade[[#This Row],[T1]] = 1, COUNTIF($T$3:T491, 1), "")</f>
        <v/>
      </c>
      <c r="V491" s="63" t="str">
        <f>IFERROR(INDEX(StatusBranchGrade[Rank/Grade], MATCH(ROWS($U$3:U491)-1, StatusBranchGrade[T2], 0)), "") &amp; ""</f>
        <v/>
      </c>
      <c r="W491" s="63"/>
    </row>
    <row r="492" spans="1:23" x14ac:dyDescent="0.25">
      <c r="A492">
        <v>6</v>
      </c>
      <c r="B492" t="s">
        <v>218</v>
      </c>
      <c r="C492" t="s">
        <v>180</v>
      </c>
      <c r="D492" t="s">
        <v>87</v>
      </c>
      <c r="E492" t="str">
        <f>IF(StatusBranchGrade[[#This Row],[Status]] = "CYS", "DoD", StatusBranchGrade[[#This Row],[Rank]] &amp; "")</f>
        <v>O-5</v>
      </c>
      <c r="F492" t="s">
        <v>87</v>
      </c>
      <c r="G492" t="str">
        <f>IF(StatusBranchGrade[[#This Row],[Rank]] = StatusBranchGrade[[#This Row],[Grade]], StatusBranchGrade[[#This Row],[Rank]], StatusBranchGrade[[#This Row],[Grade]] &amp; "/" &amp; StatusBranchGrade[[#This Row],[Rank]]) &amp; ""</f>
        <v>O-5</v>
      </c>
      <c r="H49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O-5</v>
      </c>
      <c r="I492" s="17" t="str">
        <f>SUBSTITUTE(SUBSTITUTE(SUBSTITUTE(StatusBranchGrade[[#This Row],[Status]] &amp; "  /  " &amp; StatusBranchGrade[[#This Row],[Branch]] &amp; ";", "  /  ;", ";"), "  /  ;", ";"), ";", "")</f>
        <v>Full-time Reserve  /  Army</v>
      </c>
      <c r="J492">
        <v>12</v>
      </c>
      <c r="K492" s="17" t="str">
        <f>IF(LEFT(StatusBranchGrade[[#This Row],[Which]], 1) = "1", StatusBranchGrade[[#This Row],[Key]], "")</f>
        <v>Full-time Reserve  /  Army  /  O-5</v>
      </c>
      <c r="L492" s="17" t="str">
        <f>IF(LEFT(StatusBranchGrade[[#This Row],[Which]], 1) = "1", StatusBranchGrade[[#This Row],[Key0]], "")</f>
        <v>Full-time Reserve  /  Army</v>
      </c>
      <c r="M492" s="17" t="str">
        <f>IF(RIGHT(StatusBranchGrade[[#This Row],[Which]], 1) = "2", StatusBranchGrade[[#This Row],[Key]], "")</f>
        <v>Full-time Reserve  /  Army  /  O-5</v>
      </c>
      <c r="N492" s="17" t="str">
        <f>IF(RIGHT(StatusBranchGrade[[#This Row],[Which]], 1) = "2", StatusBranchGrade[[#This Row],[Key0]], "")</f>
        <v>Full-time Reserve  /  Army</v>
      </c>
      <c r="O492" s="17" t="s">
        <v>301</v>
      </c>
      <c r="P492" s="17"/>
      <c r="Q492" s="63">
        <f>--ISNUMBER(IF(StatusBranchGrade[[#This Row],[Sponsor0]] = 'Calculation Worksheet'!$AV$6 &amp; "  /  " &amp; 'Calculation Worksheet'!$AV$7, 1, ""))</f>
        <v>0</v>
      </c>
      <c r="R492" s="63" t="str">
        <f>IF(StatusBranchGrade[[#This Row],[S1]] = 1, COUNTIF($Q$3:Q492, 1), "")</f>
        <v/>
      </c>
      <c r="S492" s="63" t="str">
        <f>IFERROR(INDEX(StatusBranchGrade[Rank/Grade], MATCH(ROWS($R$3:R492)-1, StatusBranchGrade[S2], 0)), "") &amp; ""</f>
        <v/>
      </c>
      <c r="T492" s="63">
        <f>--ISNUMBER(IF(StatusBranchGrade[[#This Row],[Spouse0]] = 'Calculation Worksheet'!$CG$6 &amp; "  /  " &amp; 'Calculation Worksheet'!$CG$7, 1, ""))</f>
        <v>0</v>
      </c>
      <c r="U492" s="63" t="str">
        <f>IF(StatusBranchGrade[[#This Row],[T1]] = 1, COUNTIF($T$3:T492, 1), "")</f>
        <v/>
      </c>
      <c r="V492" s="63" t="str">
        <f>IFERROR(INDEX(StatusBranchGrade[Rank/Grade], MATCH(ROWS($U$3:U492)-1, StatusBranchGrade[T2], 0)), "") &amp; ""</f>
        <v/>
      </c>
      <c r="W492" s="63"/>
    </row>
    <row r="493" spans="1:23" x14ac:dyDescent="0.25">
      <c r="A493">
        <v>6</v>
      </c>
      <c r="B493" t="s">
        <v>218</v>
      </c>
      <c r="C493" t="s">
        <v>180</v>
      </c>
      <c r="D493" t="s">
        <v>86</v>
      </c>
      <c r="E493" t="str">
        <f>IF(StatusBranchGrade[[#This Row],[Status]] = "CYS", "DoD", StatusBranchGrade[[#This Row],[Rank]] &amp; "")</f>
        <v>O-6</v>
      </c>
      <c r="F493" t="s">
        <v>86</v>
      </c>
      <c r="G493" t="str">
        <f>IF(StatusBranchGrade[[#This Row],[Rank]] = StatusBranchGrade[[#This Row],[Grade]], StatusBranchGrade[[#This Row],[Rank]], StatusBranchGrade[[#This Row],[Grade]] &amp; "/" &amp; StatusBranchGrade[[#This Row],[Rank]]) &amp; ""</f>
        <v>O-6</v>
      </c>
      <c r="H49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O-6</v>
      </c>
      <c r="I493" s="17" t="str">
        <f>SUBSTITUTE(SUBSTITUTE(SUBSTITUTE(StatusBranchGrade[[#This Row],[Status]] &amp; "  /  " &amp; StatusBranchGrade[[#This Row],[Branch]] &amp; ";", "  /  ;", ";"), "  /  ;", ";"), ";", "")</f>
        <v>Full-time Reserve  /  Army</v>
      </c>
      <c r="J493">
        <v>12</v>
      </c>
      <c r="K493" s="17" t="str">
        <f>IF(LEFT(StatusBranchGrade[[#This Row],[Which]], 1) = "1", StatusBranchGrade[[#This Row],[Key]], "")</f>
        <v>Full-time Reserve  /  Army  /  O-6</v>
      </c>
      <c r="L493" s="17" t="str">
        <f>IF(LEFT(StatusBranchGrade[[#This Row],[Which]], 1) = "1", StatusBranchGrade[[#This Row],[Key0]], "")</f>
        <v>Full-time Reserve  /  Army</v>
      </c>
      <c r="M493" s="17" t="str">
        <f>IF(RIGHT(StatusBranchGrade[[#This Row],[Which]], 1) = "2", StatusBranchGrade[[#This Row],[Key]], "")</f>
        <v>Full-time Reserve  /  Army  /  O-6</v>
      </c>
      <c r="N493" s="17" t="str">
        <f>IF(RIGHT(StatusBranchGrade[[#This Row],[Which]], 1) = "2", StatusBranchGrade[[#This Row],[Key0]], "")</f>
        <v>Full-time Reserve  /  Army</v>
      </c>
      <c r="O493" s="17" t="s">
        <v>301</v>
      </c>
      <c r="P493" s="17"/>
      <c r="Q493" s="63">
        <f>--ISNUMBER(IF(StatusBranchGrade[[#This Row],[Sponsor0]] = 'Calculation Worksheet'!$AV$6 &amp; "  /  " &amp; 'Calculation Worksheet'!$AV$7, 1, ""))</f>
        <v>0</v>
      </c>
      <c r="R493" s="63" t="str">
        <f>IF(StatusBranchGrade[[#This Row],[S1]] = 1, COUNTIF($Q$3:Q493, 1), "")</f>
        <v/>
      </c>
      <c r="S493" s="63" t="str">
        <f>IFERROR(INDEX(StatusBranchGrade[Rank/Grade], MATCH(ROWS($R$3:R493)-1, StatusBranchGrade[S2], 0)), "") &amp; ""</f>
        <v/>
      </c>
      <c r="T493" s="63">
        <f>--ISNUMBER(IF(StatusBranchGrade[[#This Row],[Spouse0]] = 'Calculation Worksheet'!$CG$6 &amp; "  /  " &amp; 'Calculation Worksheet'!$CG$7, 1, ""))</f>
        <v>0</v>
      </c>
      <c r="U493" s="63" t="str">
        <f>IF(StatusBranchGrade[[#This Row],[T1]] = 1, COUNTIF($T$3:T493, 1), "")</f>
        <v/>
      </c>
      <c r="V493" s="63" t="str">
        <f>IFERROR(INDEX(StatusBranchGrade[Rank/Grade], MATCH(ROWS($U$3:U493)-1, StatusBranchGrade[T2], 0)), "") &amp; ""</f>
        <v/>
      </c>
      <c r="W493" s="63"/>
    </row>
    <row r="494" spans="1:23" x14ac:dyDescent="0.25">
      <c r="A494">
        <v>6</v>
      </c>
      <c r="B494" t="s">
        <v>218</v>
      </c>
      <c r="C494" t="s">
        <v>180</v>
      </c>
      <c r="D494" t="s">
        <v>85</v>
      </c>
      <c r="E494" t="str">
        <f>IF(StatusBranchGrade[[#This Row],[Status]] = "CYS", "DoD", StatusBranchGrade[[#This Row],[Rank]] &amp; "")</f>
        <v>O-7</v>
      </c>
      <c r="F494" t="s">
        <v>85</v>
      </c>
      <c r="G494" t="str">
        <f>IF(StatusBranchGrade[[#This Row],[Rank]] = StatusBranchGrade[[#This Row],[Grade]], StatusBranchGrade[[#This Row],[Rank]], StatusBranchGrade[[#This Row],[Grade]] &amp; "/" &amp; StatusBranchGrade[[#This Row],[Rank]]) &amp; ""</f>
        <v>O-7</v>
      </c>
      <c r="H49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O-7</v>
      </c>
      <c r="I494" s="17" t="str">
        <f>SUBSTITUTE(SUBSTITUTE(SUBSTITUTE(StatusBranchGrade[[#This Row],[Status]] &amp; "  /  " &amp; StatusBranchGrade[[#This Row],[Branch]] &amp; ";", "  /  ;", ";"), "  /  ;", ";"), ";", "")</f>
        <v>Full-time Reserve  /  Army</v>
      </c>
      <c r="J494">
        <v>12</v>
      </c>
      <c r="K494" s="17" t="str">
        <f>IF(LEFT(StatusBranchGrade[[#This Row],[Which]], 1) = "1", StatusBranchGrade[[#This Row],[Key]], "")</f>
        <v>Full-time Reserve  /  Army  /  O-7</v>
      </c>
      <c r="L494" s="17" t="str">
        <f>IF(LEFT(StatusBranchGrade[[#This Row],[Which]], 1) = "1", StatusBranchGrade[[#This Row],[Key0]], "")</f>
        <v>Full-time Reserve  /  Army</v>
      </c>
      <c r="M494" s="17" t="str">
        <f>IF(RIGHT(StatusBranchGrade[[#This Row],[Which]], 1) = "2", StatusBranchGrade[[#This Row],[Key]], "")</f>
        <v>Full-time Reserve  /  Army  /  O-7</v>
      </c>
      <c r="N494" s="17" t="str">
        <f>IF(RIGHT(StatusBranchGrade[[#This Row],[Which]], 1) = "2", StatusBranchGrade[[#This Row],[Key0]], "")</f>
        <v>Full-time Reserve  /  Army</v>
      </c>
      <c r="O494" s="17" t="s">
        <v>301</v>
      </c>
      <c r="P494" s="17"/>
      <c r="Q494" s="63">
        <f>--ISNUMBER(IF(StatusBranchGrade[[#This Row],[Sponsor0]] = 'Calculation Worksheet'!$AV$6 &amp; "  /  " &amp; 'Calculation Worksheet'!$AV$7, 1, ""))</f>
        <v>0</v>
      </c>
      <c r="R494" s="63" t="str">
        <f>IF(StatusBranchGrade[[#This Row],[S1]] = 1, COUNTIF($Q$3:Q494, 1), "")</f>
        <v/>
      </c>
      <c r="S494" s="63" t="str">
        <f>IFERROR(INDEX(StatusBranchGrade[Rank/Grade], MATCH(ROWS($R$3:R494)-1, StatusBranchGrade[S2], 0)), "") &amp; ""</f>
        <v/>
      </c>
      <c r="T494" s="63">
        <f>--ISNUMBER(IF(StatusBranchGrade[[#This Row],[Spouse0]] = 'Calculation Worksheet'!$CG$6 &amp; "  /  " &amp; 'Calculation Worksheet'!$CG$7, 1, ""))</f>
        <v>0</v>
      </c>
      <c r="U494" s="63" t="str">
        <f>IF(StatusBranchGrade[[#This Row],[T1]] = 1, COUNTIF($T$3:T494, 1), "")</f>
        <v/>
      </c>
      <c r="V494" s="63" t="str">
        <f>IFERROR(INDEX(StatusBranchGrade[Rank/Grade], MATCH(ROWS($U$3:U494)-1, StatusBranchGrade[T2], 0)), "") &amp; ""</f>
        <v/>
      </c>
      <c r="W494" s="63"/>
    </row>
    <row r="495" spans="1:23" x14ac:dyDescent="0.25">
      <c r="A495">
        <v>6</v>
      </c>
      <c r="B495" t="s">
        <v>218</v>
      </c>
      <c r="C495" t="s">
        <v>180</v>
      </c>
      <c r="D495" t="s">
        <v>84</v>
      </c>
      <c r="E495" t="str">
        <f>IF(StatusBranchGrade[[#This Row],[Status]] = "CYS", "DoD", StatusBranchGrade[[#This Row],[Rank]] &amp; "")</f>
        <v>O-8</v>
      </c>
      <c r="F495" t="s">
        <v>84</v>
      </c>
      <c r="G495" t="str">
        <f>IF(StatusBranchGrade[[#This Row],[Rank]] = StatusBranchGrade[[#This Row],[Grade]], StatusBranchGrade[[#This Row],[Rank]], StatusBranchGrade[[#This Row],[Grade]] &amp; "/" &amp; StatusBranchGrade[[#This Row],[Rank]]) &amp; ""</f>
        <v>O-8</v>
      </c>
      <c r="H49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O-8</v>
      </c>
      <c r="I495" s="17" t="str">
        <f>SUBSTITUTE(SUBSTITUTE(SUBSTITUTE(StatusBranchGrade[[#This Row],[Status]] &amp; "  /  " &amp; StatusBranchGrade[[#This Row],[Branch]] &amp; ";", "  /  ;", ";"), "  /  ;", ";"), ";", "")</f>
        <v>Full-time Reserve  /  Army</v>
      </c>
      <c r="J495">
        <v>12</v>
      </c>
      <c r="K495" s="17" t="str">
        <f>IF(LEFT(StatusBranchGrade[[#This Row],[Which]], 1) = "1", StatusBranchGrade[[#This Row],[Key]], "")</f>
        <v>Full-time Reserve  /  Army  /  O-8</v>
      </c>
      <c r="L495" s="17" t="str">
        <f>IF(LEFT(StatusBranchGrade[[#This Row],[Which]], 1) = "1", StatusBranchGrade[[#This Row],[Key0]], "")</f>
        <v>Full-time Reserve  /  Army</v>
      </c>
      <c r="M495" s="17" t="str">
        <f>IF(RIGHT(StatusBranchGrade[[#This Row],[Which]], 1) = "2", StatusBranchGrade[[#This Row],[Key]], "")</f>
        <v>Full-time Reserve  /  Army  /  O-8</v>
      </c>
      <c r="N495" s="17" t="str">
        <f>IF(RIGHT(StatusBranchGrade[[#This Row],[Which]], 1) = "2", StatusBranchGrade[[#This Row],[Key0]], "")</f>
        <v>Full-time Reserve  /  Army</v>
      </c>
      <c r="O495" s="17" t="s">
        <v>301</v>
      </c>
      <c r="P495" s="17"/>
      <c r="Q495" s="63">
        <f>--ISNUMBER(IF(StatusBranchGrade[[#This Row],[Sponsor0]] = 'Calculation Worksheet'!$AV$6 &amp; "  /  " &amp; 'Calculation Worksheet'!$AV$7, 1, ""))</f>
        <v>0</v>
      </c>
      <c r="R495" s="63" t="str">
        <f>IF(StatusBranchGrade[[#This Row],[S1]] = 1, COUNTIF($Q$3:Q495, 1), "")</f>
        <v/>
      </c>
      <c r="S495" s="63" t="str">
        <f>IFERROR(INDEX(StatusBranchGrade[Rank/Grade], MATCH(ROWS($R$3:R495)-1, StatusBranchGrade[S2], 0)), "") &amp; ""</f>
        <v/>
      </c>
      <c r="T495" s="63">
        <f>--ISNUMBER(IF(StatusBranchGrade[[#This Row],[Spouse0]] = 'Calculation Worksheet'!$CG$6 &amp; "  /  " &amp; 'Calculation Worksheet'!$CG$7, 1, ""))</f>
        <v>0</v>
      </c>
      <c r="U495" s="63" t="str">
        <f>IF(StatusBranchGrade[[#This Row],[T1]] = 1, COUNTIF($T$3:T495, 1), "")</f>
        <v/>
      </c>
      <c r="V495" s="63" t="str">
        <f>IFERROR(INDEX(StatusBranchGrade[Rank/Grade], MATCH(ROWS($U$3:U495)-1, StatusBranchGrade[T2], 0)), "") &amp; ""</f>
        <v/>
      </c>
      <c r="W495" s="63"/>
    </row>
    <row r="496" spans="1:23" x14ac:dyDescent="0.25">
      <c r="A496">
        <v>6</v>
      </c>
      <c r="B496" t="s">
        <v>218</v>
      </c>
      <c r="C496" t="s">
        <v>180</v>
      </c>
      <c r="D496" t="s">
        <v>83</v>
      </c>
      <c r="E496" t="str">
        <f>IF(StatusBranchGrade[[#This Row],[Status]] = "CYS", "DoD", StatusBranchGrade[[#This Row],[Rank]] &amp; "")</f>
        <v>O-9</v>
      </c>
      <c r="F496" t="s">
        <v>83</v>
      </c>
      <c r="G496" t="str">
        <f>IF(StatusBranchGrade[[#This Row],[Rank]] = StatusBranchGrade[[#This Row],[Grade]], StatusBranchGrade[[#This Row],[Rank]], StatusBranchGrade[[#This Row],[Grade]] &amp; "/" &amp; StatusBranchGrade[[#This Row],[Rank]]) &amp; ""</f>
        <v>O-9</v>
      </c>
      <c r="H49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O-9</v>
      </c>
      <c r="I496" s="17" t="str">
        <f>SUBSTITUTE(SUBSTITUTE(SUBSTITUTE(StatusBranchGrade[[#This Row],[Status]] &amp; "  /  " &amp; StatusBranchGrade[[#This Row],[Branch]] &amp; ";", "  /  ;", ";"), "  /  ;", ";"), ";", "")</f>
        <v>Full-time Reserve  /  Army</v>
      </c>
      <c r="J496">
        <v>12</v>
      </c>
      <c r="K496" s="17" t="str">
        <f>IF(LEFT(StatusBranchGrade[[#This Row],[Which]], 1) = "1", StatusBranchGrade[[#This Row],[Key]], "")</f>
        <v>Full-time Reserve  /  Army  /  O-9</v>
      </c>
      <c r="L496" s="17" t="str">
        <f>IF(LEFT(StatusBranchGrade[[#This Row],[Which]], 1) = "1", StatusBranchGrade[[#This Row],[Key0]], "")</f>
        <v>Full-time Reserve  /  Army</v>
      </c>
      <c r="M496" s="17" t="str">
        <f>IF(RIGHT(StatusBranchGrade[[#This Row],[Which]], 1) = "2", StatusBranchGrade[[#This Row],[Key]], "")</f>
        <v>Full-time Reserve  /  Army  /  O-9</v>
      </c>
      <c r="N496" s="17" t="str">
        <f>IF(RIGHT(StatusBranchGrade[[#This Row],[Which]], 1) = "2", StatusBranchGrade[[#This Row],[Key0]], "")</f>
        <v>Full-time Reserve  /  Army</v>
      </c>
      <c r="O496" s="17" t="s">
        <v>301</v>
      </c>
      <c r="P496" s="17"/>
      <c r="Q496" s="63">
        <f>--ISNUMBER(IF(StatusBranchGrade[[#This Row],[Sponsor0]] = 'Calculation Worksheet'!$AV$6 &amp; "  /  " &amp; 'Calculation Worksheet'!$AV$7, 1, ""))</f>
        <v>0</v>
      </c>
      <c r="R496" s="63" t="str">
        <f>IF(StatusBranchGrade[[#This Row],[S1]] = 1, COUNTIF($Q$3:Q496, 1), "")</f>
        <v/>
      </c>
      <c r="S496" s="63" t="str">
        <f>IFERROR(INDEX(StatusBranchGrade[Rank/Grade], MATCH(ROWS($R$3:R496)-1, StatusBranchGrade[S2], 0)), "") &amp; ""</f>
        <v/>
      </c>
      <c r="T496" s="63">
        <f>--ISNUMBER(IF(StatusBranchGrade[[#This Row],[Spouse0]] = 'Calculation Worksheet'!$CG$6 &amp; "  /  " &amp; 'Calculation Worksheet'!$CG$7, 1, ""))</f>
        <v>0</v>
      </c>
      <c r="U496" s="63" t="str">
        <f>IF(StatusBranchGrade[[#This Row],[T1]] = 1, COUNTIF($T$3:T496, 1), "")</f>
        <v/>
      </c>
      <c r="V496" s="63" t="str">
        <f>IFERROR(INDEX(StatusBranchGrade[Rank/Grade], MATCH(ROWS($U$3:U496)-1, StatusBranchGrade[T2], 0)), "") &amp; ""</f>
        <v/>
      </c>
      <c r="W496" s="63"/>
    </row>
    <row r="497" spans="1:23" x14ac:dyDescent="0.25">
      <c r="A497">
        <v>6</v>
      </c>
      <c r="B497" t="s">
        <v>218</v>
      </c>
      <c r="C497" t="s">
        <v>180</v>
      </c>
      <c r="D497" t="s">
        <v>96</v>
      </c>
      <c r="E497" t="str">
        <f>IF(StatusBranchGrade[[#This Row],[Status]] = "CYS", "DoD", StatusBranchGrade[[#This Row],[Rank]] &amp; "")</f>
        <v>W-1</v>
      </c>
      <c r="F497" t="s">
        <v>179</v>
      </c>
      <c r="G497" t="str">
        <f>IF(StatusBranchGrade[[#This Row],[Rank]] = StatusBranchGrade[[#This Row],[Grade]], StatusBranchGrade[[#This Row],[Rank]], StatusBranchGrade[[#This Row],[Grade]] &amp; "/" &amp; StatusBranchGrade[[#This Row],[Rank]]) &amp; ""</f>
        <v>WO1/W-1</v>
      </c>
      <c r="H49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Army  /  WO1/W-1</v>
      </c>
      <c r="I497" s="17" t="str">
        <f>SUBSTITUTE(SUBSTITUTE(SUBSTITUTE(StatusBranchGrade[[#This Row],[Status]] &amp; "  /  " &amp; StatusBranchGrade[[#This Row],[Branch]] &amp; ";", "  /  ;", ";"), "  /  ;", ";"), ";", "")</f>
        <v>Full-time Reserve  /  Army</v>
      </c>
      <c r="J497">
        <v>12</v>
      </c>
      <c r="K497" s="17" t="str">
        <f>IF(LEFT(StatusBranchGrade[[#This Row],[Which]], 1) = "1", StatusBranchGrade[[#This Row],[Key]], "")</f>
        <v>Full-time Reserve  /  Army  /  WO1/W-1</v>
      </c>
      <c r="L497" s="17" t="str">
        <f>IF(LEFT(StatusBranchGrade[[#This Row],[Which]], 1) = "1", StatusBranchGrade[[#This Row],[Key0]], "")</f>
        <v>Full-time Reserve  /  Army</v>
      </c>
      <c r="M497" s="17" t="str">
        <f>IF(RIGHT(StatusBranchGrade[[#This Row],[Which]], 1) = "2", StatusBranchGrade[[#This Row],[Key]], "")</f>
        <v>Full-time Reserve  /  Army  /  WO1/W-1</v>
      </c>
      <c r="N497" s="17" t="str">
        <f>IF(RIGHT(StatusBranchGrade[[#This Row],[Which]], 1) = "2", StatusBranchGrade[[#This Row],[Key0]], "")</f>
        <v>Full-time Reserve  /  Army</v>
      </c>
      <c r="O497" s="17" t="s">
        <v>301</v>
      </c>
      <c r="P497" s="17"/>
      <c r="Q497" s="63">
        <f>--ISNUMBER(IF(StatusBranchGrade[[#This Row],[Sponsor0]] = 'Calculation Worksheet'!$AV$6 &amp; "  /  " &amp; 'Calculation Worksheet'!$AV$7, 1, ""))</f>
        <v>0</v>
      </c>
      <c r="R497" s="63" t="str">
        <f>IF(StatusBranchGrade[[#This Row],[S1]] = 1, COUNTIF($Q$3:Q497, 1), "")</f>
        <v/>
      </c>
      <c r="S497" s="63" t="str">
        <f>IFERROR(INDEX(StatusBranchGrade[Rank/Grade], MATCH(ROWS($R$3:R497)-1, StatusBranchGrade[S2], 0)), "") &amp; ""</f>
        <v/>
      </c>
      <c r="T497" s="63">
        <f>--ISNUMBER(IF(StatusBranchGrade[[#This Row],[Spouse0]] = 'Calculation Worksheet'!$CG$6 &amp; "  /  " &amp; 'Calculation Worksheet'!$CG$7, 1, ""))</f>
        <v>0</v>
      </c>
      <c r="U497" s="63" t="str">
        <f>IF(StatusBranchGrade[[#This Row],[T1]] = 1, COUNTIF($T$3:T497, 1), "")</f>
        <v/>
      </c>
      <c r="V497" s="63" t="str">
        <f>IFERROR(INDEX(StatusBranchGrade[Rank/Grade], MATCH(ROWS($U$3:U497)-1, StatusBranchGrade[T2], 0)), "") &amp; ""</f>
        <v/>
      </c>
      <c r="W497" s="63"/>
    </row>
    <row r="498" spans="1:23" x14ac:dyDescent="0.25">
      <c r="A498">
        <v>6</v>
      </c>
      <c r="B498" t="s">
        <v>218</v>
      </c>
      <c r="C498" t="s">
        <v>181</v>
      </c>
      <c r="D498" t="s">
        <v>105</v>
      </c>
      <c r="E498" t="str">
        <f>IF(StatusBranchGrade[[#This Row],[Status]] = "CYS", "DoD", StatusBranchGrade[[#This Row],[Rank]] &amp; "")</f>
        <v>E-1</v>
      </c>
      <c r="F498" t="s">
        <v>105</v>
      </c>
      <c r="G498" t="str">
        <f>IF(StatusBranchGrade[[#This Row],[Rank]] = StatusBranchGrade[[#This Row],[Grade]], StatusBranchGrade[[#This Row],[Rank]], StatusBranchGrade[[#This Row],[Grade]] &amp; "/" &amp; StatusBranchGrade[[#This Row],[Rank]]) &amp; ""</f>
        <v>E-1</v>
      </c>
      <c r="H49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E-1</v>
      </c>
      <c r="I498" s="17" t="str">
        <f>SUBSTITUTE(SUBSTITUTE(SUBSTITUTE(StatusBranchGrade[[#This Row],[Status]] &amp; "  /  " &amp; StatusBranchGrade[[#This Row],[Branch]] &amp; ";", "  /  ;", ";"), "  /  ;", ";"), ";", "")</f>
        <v>Full-time Reserve  /  Marines</v>
      </c>
      <c r="J498">
        <v>12</v>
      </c>
      <c r="K498" s="17" t="str">
        <f>IF(LEFT(StatusBranchGrade[[#This Row],[Which]], 1) = "1", StatusBranchGrade[[#This Row],[Key]], "")</f>
        <v>Full-time Reserve  /  Marines  /  E-1</v>
      </c>
      <c r="L498" s="17" t="str">
        <f>IF(LEFT(StatusBranchGrade[[#This Row],[Which]], 1) = "1", StatusBranchGrade[[#This Row],[Key0]], "")</f>
        <v>Full-time Reserve  /  Marines</v>
      </c>
      <c r="M498" s="17" t="str">
        <f>IF(RIGHT(StatusBranchGrade[[#This Row],[Which]], 1) = "2", StatusBranchGrade[[#This Row],[Key]], "")</f>
        <v>Full-time Reserve  /  Marines  /  E-1</v>
      </c>
      <c r="N498" s="17" t="str">
        <f>IF(RIGHT(StatusBranchGrade[[#This Row],[Which]], 1) = "2", StatusBranchGrade[[#This Row],[Key0]], "")</f>
        <v>Full-time Reserve  /  Marines</v>
      </c>
      <c r="O498" s="17" t="s">
        <v>301</v>
      </c>
      <c r="P498" s="17"/>
      <c r="Q498" s="63">
        <f>--ISNUMBER(IF(StatusBranchGrade[[#This Row],[Sponsor0]] = 'Calculation Worksheet'!$AV$6 &amp; "  /  " &amp; 'Calculation Worksheet'!$AV$7, 1, ""))</f>
        <v>0</v>
      </c>
      <c r="R498" s="63" t="str">
        <f>IF(StatusBranchGrade[[#This Row],[S1]] = 1, COUNTIF($Q$3:Q498, 1), "")</f>
        <v/>
      </c>
      <c r="S498" s="63" t="str">
        <f>IFERROR(INDEX(StatusBranchGrade[Rank/Grade], MATCH(ROWS($R$3:R498)-1, StatusBranchGrade[S2], 0)), "") &amp; ""</f>
        <v/>
      </c>
      <c r="T498" s="63">
        <f>--ISNUMBER(IF(StatusBranchGrade[[#This Row],[Spouse0]] = 'Calculation Worksheet'!$CG$6 &amp; "  /  " &amp; 'Calculation Worksheet'!$CG$7, 1, ""))</f>
        <v>0</v>
      </c>
      <c r="U498" s="63" t="str">
        <f>IF(StatusBranchGrade[[#This Row],[T1]] = 1, COUNTIF($T$3:T498, 1), "")</f>
        <v/>
      </c>
      <c r="V498" s="63" t="str">
        <f>IFERROR(INDEX(StatusBranchGrade[Rank/Grade], MATCH(ROWS($U$3:U498)-1, StatusBranchGrade[T2], 0)), "") &amp; ""</f>
        <v/>
      </c>
      <c r="W498" s="63"/>
    </row>
    <row r="499" spans="1:23" x14ac:dyDescent="0.25">
      <c r="A499">
        <v>6</v>
      </c>
      <c r="B499" t="s">
        <v>218</v>
      </c>
      <c r="C499" t="s">
        <v>181</v>
      </c>
      <c r="D499" t="s">
        <v>104</v>
      </c>
      <c r="E499" t="str">
        <f>IF(StatusBranchGrade[[#This Row],[Status]] = "CYS", "DoD", StatusBranchGrade[[#This Row],[Rank]] &amp; "")</f>
        <v>E-2</v>
      </c>
      <c r="F499" t="s">
        <v>104</v>
      </c>
      <c r="G499" t="str">
        <f>IF(StatusBranchGrade[[#This Row],[Rank]] = StatusBranchGrade[[#This Row],[Grade]], StatusBranchGrade[[#This Row],[Rank]], StatusBranchGrade[[#This Row],[Grade]] &amp; "/" &amp; StatusBranchGrade[[#This Row],[Rank]]) &amp; ""</f>
        <v>E-2</v>
      </c>
      <c r="H49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E-2</v>
      </c>
      <c r="I499" s="17" t="str">
        <f>SUBSTITUTE(SUBSTITUTE(SUBSTITUTE(StatusBranchGrade[[#This Row],[Status]] &amp; "  /  " &amp; StatusBranchGrade[[#This Row],[Branch]] &amp; ";", "  /  ;", ";"), "  /  ;", ";"), ";", "")</f>
        <v>Full-time Reserve  /  Marines</v>
      </c>
      <c r="J499">
        <v>12</v>
      </c>
      <c r="K499" s="17" t="str">
        <f>IF(LEFT(StatusBranchGrade[[#This Row],[Which]], 1) = "1", StatusBranchGrade[[#This Row],[Key]], "")</f>
        <v>Full-time Reserve  /  Marines  /  E-2</v>
      </c>
      <c r="L499" s="17" t="str">
        <f>IF(LEFT(StatusBranchGrade[[#This Row],[Which]], 1) = "1", StatusBranchGrade[[#This Row],[Key0]], "")</f>
        <v>Full-time Reserve  /  Marines</v>
      </c>
      <c r="M499" s="17" t="str">
        <f>IF(RIGHT(StatusBranchGrade[[#This Row],[Which]], 1) = "2", StatusBranchGrade[[#This Row],[Key]], "")</f>
        <v>Full-time Reserve  /  Marines  /  E-2</v>
      </c>
      <c r="N499" s="17" t="str">
        <f>IF(RIGHT(StatusBranchGrade[[#This Row],[Which]], 1) = "2", StatusBranchGrade[[#This Row],[Key0]], "")</f>
        <v>Full-time Reserve  /  Marines</v>
      </c>
      <c r="O499" s="17" t="s">
        <v>301</v>
      </c>
      <c r="P499" s="17"/>
      <c r="Q499" s="63">
        <f>--ISNUMBER(IF(StatusBranchGrade[[#This Row],[Sponsor0]] = 'Calculation Worksheet'!$AV$6 &amp; "  /  " &amp; 'Calculation Worksheet'!$AV$7, 1, ""))</f>
        <v>0</v>
      </c>
      <c r="R499" s="63" t="str">
        <f>IF(StatusBranchGrade[[#This Row],[S1]] = 1, COUNTIF($Q$3:Q499, 1), "")</f>
        <v/>
      </c>
      <c r="S499" s="63" t="str">
        <f>IFERROR(INDEX(StatusBranchGrade[Rank/Grade], MATCH(ROWS($R$3:R499)-1, StatusBranchGrade[S2], 0)), "") &amp; ""</f>
        <v/>
      </c>
      <c r="T499" s="63">
        <f>--ISNUMBER(IF(StatusBranchGrade[[#This Row],[Spouse0]] = 'Calculation Worksheet'!$CG$6 &amp; "  /  " &amp; 'Calculation Worksheet'!$CG$7, 1, ""))</f>
        <v>0</v>
      </c>
      <c r="U499" s="63" t="str">
        <f>IF(StatusBranchGrade[[#This Row],[T1]] = 1, COUNTIF($T$3:T499, 1), "")</f>
        <v/>
      </c>
      <c r="V499" s="63" t="str">
        <f>IFERROR(INDEX(StatusBranchGrade[Rank/Grade], MATCH(ROWS($U$3:U499)-1, StatusBranchGrade[T2], 0)), "") &amp; ""</f>
        <v/>
      </c>
      <c r="W499" s="63"/>
    </row>
    <row r="500" spans="1:23" x14ac:dyDescent="0.25">
      <c r="A500">
        <v>6</v>
      </c>
      <c r="B500" t="s">
        <v>218</v>
      </c>
      <c r="C500" t="s">
        <v>181</v>
      </c>
      <c r="D500" t="s">
        <v>103</v>
      </c>
      <c r="E500" t="str">
        <f>IF(StatusBranchGrade[[#This Row],[Status]] = "CYS", "DoD", StatusBranchGrade[[#This Row],[Rank]] &amp; "")</f>
        <v>E-3</v>
      </c>
      <c r="F500" t="s">
        <v>103</v>
      </c>
      <c r="G500" t="str">
        <f>IF(StatusBranchGrade[[#This Row],[Rank]] = StatusBranchGrade[[#This Row],[Grade]], StatusBranchGrade[[#This Row],[Rank]], StatusBranchGrade[[#This Row],[Grade]] &amp; "/" &amp; StatusBranchGrade[[#This Row],[Rank]]) &amp; ""</f>
        <v>E-3</v>
      </c>
      <c r="H50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E-3</v>
      </c>
      <c r="I500" s="17" t="str">
        <f>SUBSTITUTE(SUBSTITUTE(SUBSTITUTE(StatusBranchGrade[[#This Row],[Status]] &amp; "  /  " &amp; StatusBranchGrade[[#This Row],[Branch]] &amp; ";", "  /  ;", ";"), "  /  ;", ";"), ";", "")</f>
        <v>Full-time Reserve  /  Marines</v>
      </c>
      <c r="J500">
        <v>12</v>
      </c>
      <c r="K500" s="17" t="str">
        <f>IF(LEFT(StatusBranchGrade[[#This Row],[Which]], 1) = "1", StatusBranchGrade[[#This Row],[Key]], "")</f>
        <v>Full-time Reserve  /  Marines  /  E-3</v>
      </c>
      <c r="L500" s="17" t="str">
        <f>IF(LEFT(StatusBranchGrade[[#This Row],[Which]], 1) = "1", StatusBranchGrade[[#This Row],[Key0]], "")</f>
        <v>Full-time Reserve  /  Marines</v>
      </c>
      <c r="M500" s="17" t="str">
        <f>IF(RIGHT(StatusBranchGrade[[#This Row],[Which]], 1) = "2", StatusBranchGrade[[#This Row],[Key]], "")</f>
        <v>Full-time Reserve  /  Marines  /  E-3</v>
      </c>
      <c r="N500" s="17" t="str">
        <f>IF(RIGHT(StatusBranchGrade[[#This Row],[Which]], 1) = "2", StatusBranchGrade[[#This Row],[Key0]], "")</f>
        <v>Full-time Reserve  /  Marines</v>
      </c>
      <c r="O500" s="17" t="s">
        <v>301</v>
      </c>
      <c r="P500" s="17"/>
      <c r="Q500" s="63">
        <f>--ISNUMBER(IF(StatusBranchGrade[[#This Row],[Sponsor0]] = 'Calculation Worksheet'!$AV$6 &amp; "  /  " &amp; 'Calculation Worksheet'!$AV$7, 1, ""))</f>
        <v>0</v>
      </c>
      <c r="R500" s="63" t="str">
        <f>IF(StatusBranchGrade[[#This Row],[S1]] = 1, COUNTIF($Q$3:Q500, 1), "")</f>
        <v/>
      </c>
      <c r="S500" s="63" t="str">
        <f>IFERROR(INDEX(StatusBranchGrade[Rank/Grade], MATCH(ROWS($R$3:R500)-1, StatusBranchGrade[S2], 0)), "") &amp; ""</f>
        <v/>
      </c>
      <c r="T500" s="63">
        <f>--ISNUMBER(IF(StatusBranchGrade[[#This Row],[Spouse0]] = 'Calculation Worksheet'!$CG$6 &amp; "  /  " &amp; 'Calculation Worksheet'!$CG$7, 1, ""))</f>
        <v>0</v>
      </c>
      <c r="U500" s="63" t="str">
        <f>IF(StatusBranchGrade[[#This Row],[T1]] = 1, COUNTIF($T$3:T500, 1), "")</f>
        <v/>
      </c>
      <c r="V500" s="63" t="str">
        <f>IFERROR(INDEX(StatusBranchGrade[Rank/Grade], MATCH(ROWS($U$3:U500)-1, StatusBranchGrade[T2], 0)), "") &amp; ""</f>
        <v/>
      </c>
      <c r="W500" s="63"/>
    </row>
    <row r="501" spans="1:23" x14ac:dyDescent="0.25">
      <c r="A501">
        <v>6</v>
      </c>
      <c r="B501" t="s">
        <v>218</v>
      </c>
      <c r="C501" t="s">
        <v>181</v>
      </c>
      <c r="D501" t="s">
        <v>102</v>
      </c>
      <c r="E501" t="str">
        <f>IF(StatusBranchGrade[[#This Row],[Status]] = "CYS", "DoD", StatusBranchGrade[[#This Row],[Rank]] &amp; "")</f>
        <v>E-4</v>
      </c>
      <c r="F501" t="s">
        <v>102</v>
      </c>
      <c r="G501" t="str">
        <f>IF(StatusBranchGrade[[#This Row],[Rank]] = StatusBranchGrade[[#This Row],[Grade]], StatusBranchGrade[[#This Row],[Rank]], StatusBranchGrade[[#This Row],[Grade]] &amp; "/" &amp; StatusBranchGrade[[#This Row],[Rank]]) &amp; ""</f>
        <v>E-4</v>
      </c>
      <c r="H50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E-4</v>
      </c>
      <c r="I501" s="17" t="str">
        <f>SUBSTITUTE(SUBSTITUTE(SUBSTITUTE(StatusBranchGrade[[#This Row],[Status]] &amp; "  /  " &amp; StatusBranchGrade[[#This Row],[Branch]] &amp; ";", "  /  ;", ";"), "  /  ;", ";"), ";", "")</f>
        <v>Full-time Reserve  /  Marines</v>
      </c>
      <c r="J501">
        <v>12</v>
      </c>
      <c r="K501" s="17" t="str">
        <f>IF(LEFT(StatusBranchGrade[[#This Row],[Which]], 1) = "1", StatusBranchGrade[[#This Row],[Key]], "")</f>
        <v>Full-time Reserve  /  Marines  /  E-4</v>
      </c>
      <c r="L501" s="17" t="str">
        <f>IF(LEFT(StatusBranchGrade[[#This Row],[Which]], 1) = "1", StatusBranchGrade[[#This Row],[Key0]], "")</f>
        <v>Full-time Reserve  /  Marines</v>
      </c>
      <c r="M501" s="17" t="str">
        <f>IF(RIGHT(StatusBranchGrade[[#This Row],[Which]], 1) = "2", StatusBranchGrade[[#This Row],[Key]], "")</f>
        <v>Full-time Reserve  /  Marines  /  E-4</v>
      </c>
      <c r="N501" s="17" t="str">
        <f>IF(RIGHT(StatusBranchGrade[[#This Row],[Which]], 1) = "2", StatusBranchGrade[[#This Row],[Key0]], "")</f>
        <v>Full-time Reserve  /  Marines</v>
      </c>
      <c r="O501" s="17" t="s">
        <v>301</v>
      </c>
      <c r="P501" s="17"/>
      <c r="Q501" s="63">
        <f>--ISNUMBER(IF(StatusBranchGrade[[#This Row],[Sponsor0]] = 'Calculation Worksheet'!$AV$6 &amp; "  /  " &amp; 'Calculation Worksheet'!$AV$7, 1, ""))</f>
        <v>0</v>
      </c>
      <c r="R501" s="63" t="str">
        <f>IF(StatusBranchGrade[[#This Row],[S1]] = 1, COUNTIF($Q$3:Q501, 1), "")</f>
        <v/>
      </c>
      <c r="S501" s="63" t="str">
        <f>IFERROR(INDEX(StatusBranchGrade[Rank/Grade], MATCH(ROWS($R$3:R501)-1, StatusBranchGrade[S2], 0)), "") &amp; ""</f>
        <v/>
      </c>
      <c r="T501" s="63">
        <f>--ISNUMBER(IF(StatusBranchGrade[[#This Row],[Spouse0]] = 'Calculation Worksheet'!$CG$6 &amp; "  /  " &amp; 'Calculation Worksheet'!$CG$7, 1, ""))</f>
        <v>0</v>
      </c>
      <c r="U501" s="63" t="str">
        <f>IF(StatusBranchGrade[[#This Row],[T1]] = 1, COUNTIF($T$3:T501, 1), "")</f>
        <v/>
      </c>
      <c r="V501" s="63" t="str">
        <f>IFERROR(INDEX(StatusBranchGrade[Rank/Grade], MATCH(ROWS($U$3:U501)-1, StatusBranchGrade[T2], 0)), "") &amp; ""</f>
        <v/>
      </c>
      <c r="W501" s="63"/>
    </row>
    <row r="502" spans="1:23" x14ac:dyDescent="0.25">
      <c r="A502">
        <v>6</v>
      </c>
      <c r="B502" t="s">
        <v>218</v>
      </c>
      <c r="C502" t="s">
        <v>181</v>
      </c>
      <c r="D502" t="s">
        <v>101</v>
      </c>
      <c r="E502" t="str">
        <f>IF(StatusBranchGrade[[#This Row],[Status]] = "CYS", "DoD", StatusBranchGrade[[#This Row],[Rank]] &amp; "")</f>
        <v>E-5</v>
      </c>
      <c r="F502" t="s">
        <v>101</v>
      </c>
      <c r="G502" t="str">
        <f>IF(StatusBranchGrade[[#This Row],[Rank]] = StatusBranchGrade[[#This Row],[Grade]], StatusBranchGrade[[#This Row],[Rank]], StatusBranchGrade[[#This Row],[Grade]] &amp; "/" &amp; StatusBranchGrade[[#This Row],[Rank]]) &amp; ""</f>
        <v>E-5</v>
      </c>
      <c r="H50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E-5</v>
      </c>
      <c r="I502" s="17" t="str">
        <f>SUBSTITUTE(SUBSTITUTE(SUBSTITUTE(StatusBranchGrade[[#This Row],[Status]] &amp; "  /  " &amp; StatusBranchGrade[[#This Row],[Branch]] &amp; ";", "  /  ;", ";"), "  /  ;", ";"), ";", "")</f>
        <v>Full-time Reserve  /  Marines</v>
      </c>
      <c r="J502">
        <v>12</v>
      </c>
      <c r="K502" s="17" t="str">
        <f>IF(LEFT(StatusBranchGrade[[#This Row],[Which]], 1) = "1", StatusBranchGrade[[#This Row],[Key]], "")</f>
        <v>Full-time Reserve  /  Marines  /  E-5</v>
      </c>
      <c r="L502" s="17" t="str">
        <f>IF(LEFT(StatusBranchGrade[[#This Row],[Which]], 1) = "1", StatusBranchGrade[[#This Row],[Key0]], "")</f>
        <v>Full-time Reserve  /  Marines</v>
      </c>
      <c r="M502" s="17" t="str">
        <f>IF(RIGHT(StatusBranchGrade[[#This Row],[Which]], 1) = "2", StatusBranchGrade[[#This Row],[Key]], "")</f>
        <v>Full-time Reserve  /  Marines  /  E-5</v>
      </c>
      <c r="N502" s="17" t="str">
        <f>IF(RIGHT(StatusBranchGrade[[#This Row],[Which]], 1) = "2", StatusBranchGrade[[#This Row],[Key0]], "")</f>
        <v>Full-time Reserve  /  Marines</v>
      </c>
      <c r="O502" s="17" t="s">
        <v>301</v>
      </c>
      <c r="P502" s="17"/>
      <c r="Q502" s="63">
        <f>--ISNUMBER(IF(StatusBranchGrade[[#This Row],[Sponsor0]] = 'Calculation Worksheet'!$AV$6 &amp; "  /  " &amp; 'Calculation Worksheet'!$AV$7, 1, ""))</f>
        <v>0</v>
      </c>
      <c r="R502" s="63" t="str">
        <f>IF(StatusBranchGrade[[#This Row],[S1]] = 1, COUNTIF($Q$3:Q502, 1), "")</f>
        <v/>
      </c>
      <c r="S502" s="63" t="str">
        <f>IFERROR(INDEX(StatusBranchGrade[Rank/Grade], MATCH(ROWS($R$3:R502)-1, StatusBranchGrade[S2], 0)), "") &amp; ""</f>
        <v/>
      </c>
      <c r="T502" s="63">
        <f>--ISNUMBER(IF(StatusBranchGrade[[#This Row],[Spouse0]] = 'Calculation Worksheet'!$CG$6 &amp; "  /  " &amp; 'Calculation Worksheet'!$CG$7, 1, ""))</f>
        <v>0</v>
      </c>
      <c r="U502" s="63" t="str">
        <f>IF(StatusBranchGrade[[#This Row],[T1]] = 1, COUNTIF($T$3:T502, 1), "")</f>
        <v/>
      </c>
      <c r="V502" s="63" t="str">
        <f>IFERROR(INDEX(StatusBranchGrade[Rank/Grade], MATCH(ROWS($U$3:U502)-1, StatusBranchGrade[T2], 0)), "") &amp; ""</f>
        <v/>
      </c>
      <c r="W502" s="63"/>
    </row>
    <row r="503" spans="1:23" x14ac:dyDescent="0.25">
      <c r="A503">
        <v>6</v>
      </c>
      <c r="B503" t="s">
        <v>218</v>
      </c>
      <c r="C503" t="s">
        <v>181</v>
      </c>
      <c r="D503" t="s">
        <v>100</v>
      </c>
      <c r="E503" t="str">
        <f>IF(StatusBranchGrade[[#This Row],[Status]] = "CYS", "DoD", StatusBranchGrade[[#This Row],[Rank]] &amp; "")</f>
        <v>E-6</v>
      </c>
      <c r="F503" t="s">
        <v>100</v>
      </c>
      <c r="G503" t="str">
        <f>IF(StatusBranchGrade[[#This Row],[Rank]] = StatusBranchGrade[[#This Row],[Grade]], StatusBranchGrade[[#This Row],[Rank]], StatusBranchGrade[[#This Row],[Grade]] &amp; "/" &amp; StatusBranchGrade[[#This Row],[Rank]]) &amp; ""</f>
        <v>E-6</v>
      </c>
      <c r="H50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E-6</v>
      </c>
      <c r="I503" s="17" t="str">
        <f>SUBSTITUTE(SUBSTITUTE(SUBSTITUTE(StatusBranchGrade[[#This Row],[Status]] &amp; "  /  " &amp; StatusBranchGrade[[#This Row],[Branch]] &amp; ";", "  /  ;", ";"), "  /  ;", ";"), ";", "")</f>
        <v>Full-time Reserve  /  Marines</v>
      </c>
      <c r="J503">
        <v>12</v>
      </c>
      <c r="K503" s="17" t="str">
        <f>IF(LEFT(StatusBranchGrade[[#This Row],[Which]], 1) = "1", StatusBranchGrade[[#This Row],[Key]], "")</f>
        <v>Full-time Reserve  /  Marines  /  E-6</v>
      </c>
      <c r="L503" s="17" t="str">
        <f>IF(LEFT(StatusBranchGrade[[#This Row],[Which]], 1) = "1", StatusBranchGrade[[#This Row],[Key0]], "")</f>
        <v>Full-time Reserve  /  Marines</v>
      </c>
      <c r="M503" s="17" t="str">
        <f>IF(RIGHT(StatusBranchGrade[[#This Row],[Which]], 1) = "2", StatusBranchGrade[[#This Row],[Key]], "")</f>
        <v>Full-time Reserve  /  Marines  /  E-6</v>
      </c>
      <c r="N503" s="17" t="str">
        <f>IF(RIGHT(StatusBranchGrade[[#This Row],[Which]], 1) = "2", StatusBranchGrade[[#This Row],[Key0]], "")</f>
        <v>Full-time Reserve  /  Marines</v>
      </c>
      <c r="O503" s="17" t="s">
        <v>301</v>
      </c>
      <c r="P503" s="17"/>
      <c r="Q503" s="63">
        <f>--ISNUMBER(IF(StatusBranchGrade[[#This Row],[Sponsor0]] = 'Calculation Worksheet'!$AV$6 &amp; "  /  " &amp; 'Calculation Worksheet'!$AV$7, 1, ""))</f>
        <v>0</v>
      </c>
      <c r="R503" s="63" t="str">
        <f>IF(StatusBranchGrade[[#This Row],[S1]] = 1, COUNTIF($Q$3:Q503, 1), "")</f>
        <v/>
      </c>
      <c r="S503" s="63" t="str">
        <f>IFERROR(INDEX(StatusBranchGrade[Rank/Grade], MATCH(ROWS($R$3:R503)-1, StatusBranchGrade[S2], 0)), "") &amp; ""</f>
        <v/>
      </c>
      <c r="T503" s="63">
        <f>--ISNUMBER(IF(StatusBranchGrade[[#This Row],[Spouse0]] = 'Calculation Worksheet'!$CG$6 &amp; "  /  " &amp; 'Calculation Worksheet'!$CG$7, 1, ""))</f>
        <v>0</v>
      </c>
      <c r="U503" s="63" t="str">
        <f>IF(StatusBranchGrade[[#This Row],[T1]] = 1, COUNTIF($T$3:T503, 1), "")</f>
        <v/>
      </c>
      <c r="V503" s="63" t="str">
        <f>IFERROR(INDEX(StatusBranchGrade[Rank/Grade], MATCH(ROWS($U$3:U503)-1, StatusBranchGrade[T2], 0)), "") &amp; ""</f>
        <v/>
      </c>
      <c r="W503" s="63"/>
    </row>
    <row r="504" spans="1:23" x14ac:dyDescent="0.25">
      <c r="A504">
        <v>6</v>
      </c>
      <c r="B504" t="s">
        <v>218</v>
      </c>
      <c r="C504" t="s">
        <v>181</v>
      </c>
      <c r="D504" t="s">
        <v>99</v>
      </c>
      <c r="E504" t="str">
        <f>IF(StatusBranchGrade[[#This Row],[Status]] = "CYS", "DoD", StatusBranchGrade[[#This Row],[Rank]] &amp; "")</f>
        <v>E-7</v>
      </c>
      <c r="F504" t="s">
        <v>99</v>
      </c>
      <c r="G504" t="str">
        <f>IF(StatusBranchGrade[[#This Row],[Rank]] = StatusBranchGrade[[#This Row],[Grade]], StatusBranchGrade[[#This Row],[Rank]], StatusBranchGrade[[#This Row],[Grade]] &amp; "/" &amp; StatusBranchGrade[[#This Row],[Rank]]) &amp; ""</f>
        <v>E-7</v>
      </c>
      <c r="H50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E-7</v>
      </c>
      <c r="I504" s="17" t="str">
        <f>SUBSTITUTE(SUBSTITUTE(SUBSTITUTE(StatusBranchGrade[[#This Row],[Status]] &amp; "  /  " &amp; StatusBranchGrade[[#This Row],[Branch]] &amp; ";", "  /  ;", ";"), "  /  ;", ";"), ";", "")</f>
        <v>Full-time Reserve  /  Marines</v>
      </c>
      <c r="J504">
        <v>12</v>
      </c>
      <c r="K504" s="17" t="str">
        <f>IF(LEFT(StatusBranchGrade[[#This Row],[Which]], 1) = "1", StatusBranchGrade[[#This Row],[Key]], "")</f>
        <v>Full-time Reserve  /  Marines  /  E-7</v>
      </c>
      <c r="L504" s="17" t="str">
        <f>IF(LEFT(StatusBranchGrade[[#This Row],[Which]], 1) = "1", StatusBranchGrade[[#This Row],[Key0]], "")</f>
        <v>Full-time Reserve  /  Marines</v>
      </c>
      <c r="M504" s="17" t="str">
        <f>IF(RIGHT(StatusBranchGrade[[#This Row],[Which]], 1) = "2", StatusBranchGrade[[#This Row],[Key]], "")</f>
        <v>Full-time Reserve  /  Marines  /  E-7</v>
      </c>
      <c r="N504" s="17" t="str">
        <f>IF(RIGHT(StatusBranchGrade[[#This Row],[Which]], 1) = "2", StatusBranchGrade[[#This Row],[Key0]], "")</f>
        <v>Full-time Reserve  /  Marines</v>
      </c>
      <c r="O504" s="17" t="s">
        <v>301</v>
      </c>
      <c r="P504" s="17"/>
      <c r="Q504" s="63">
        <f>--ISNUMBER(IF(StatusBranchGrade[[#This Row],[Sponsor0]] = 'Calculation Worksheet'!$AV$6 &amp; "  /  " &amp; 'Calculation Worksheet'!$AV$7, 1, ""))</f>
        <v>0</v>
      </c>
      <c r="R504" s="63" t="str">
        <f>IF(StatusBranchGrade[[#This Row],[S1]] = 1, COUNTIF($Q$3:Q504, 1), "")</f>
        <v/>
      </c>
      <c r="S504" s="63" t="str">
        <f>IFERROR(INDEX(StatusBranchGrade[Rank/Grade], MATCH(ROWS($R$3:R504)-1, StatusBranchGrade[S2], 0)), "") &amp; ""</f>
        <v/>
      </c>
      <c r="T504" s="63">
        <f>--ISNUMBER(IF(StatusBranchGrade[[#This Row],[Spouse0]] = 'Calculation Worksheet'!$CG$6 &amp; "  /  " &amp; 'Calculation Worksheet'!$CG$7, 1, ""))</f>
        <v>0</v>
      </c>
      <c r="U504" s="63" t="str">
        <f>IF(StatusBranchGrade[[#This Row],[T1]] = 1, COUNTIF($T$3:T504, 1), "")</f>
        <v/>
      </c>
      <c r="V504" s="63" t="str">
        <f>IFERROR(INDEX(StatusBranchGrade[Rank/Grade], MATCH(ROWS($U$3:U504)-1, StatusBranchGrade[T2], 0)), "") &amp; ""</f>
        <v/>
      </c>
      <c r="W504" s="63"/>
    </row>
    <row r="505" spans="1:23" x14ac:dyDescent="0.25">
      <c r="A505">
        <v>6</v>
      </c>
      <c r="B505" t="s">
        <v>218</v>
      </c>
      <c r="C505" t="s">
        <v>181</v>
      </c>
      <c r="D505" t="s">
        <v>98</v>
      </c>
      <c r="E505" t="str">
        <f>IF(StatusBranchGrade[[#This Row],[Status]] = "CYS", "DoD", StatusBranchGrade[[#This Row],[Rank]] &amp; "")</f>
        <v>E-8</v>
      </c>
      <c r="F505" t="s">
        <v>98</v>
      </c>
      <c r="G505" t="str">
        <f>IF(StatusBranchGrade[[#This Row],[Rank]] = StatusBranchGrade[[#This Row],[Grade]], StatusBranchGrade[[#This Row],[Rank]], StatusBranchGrade[[#This Row],[Grade]] &amp; "/" &amp; StatusBranchGrade[[#This Row],[Rank]]) &amp; ""</f>
        <v>E-8</v>
      </c>
      <c r="H50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E-8</v>
      </c>
      <c r="I505" s="17" t="str">
        <f>SUBSTITUTE(SUBSTITUTE(SUBSTITUTE(StatusBranchGrade[[#This Row],[Status]] &amp; "  /  " &amp; StatusBranchGrade[[#This Row],[Branch]] &amp; ";", "  /  ;", ";"), "  /  ;", ";"), ";", "")</f>
        <v>Full-time Reserve  /  Marines</v>
      </c>
      <c r="J505">
        <v>12</v>
      </c>
      <c r="K505" s="17" t="str">
        <f>IF(LEFT(StatusBranchGrade[[#This Row],[Which]], 1) = "1", StatusBranchGrade[[#This Row],[Key]], "")</f>
        <v>Full-time Reserve  /  Marines  /  E-8</v>
      </c>
      <c r="L505" s="17" t="str">
        <f>IF(LEFT(StatusBranchGrade[[#This Row],[Which]], 1) = "1", StatusBranchGrade[[#This Row],[Key0]], "")</f>
        <v>Full-time Reserve  /  Marines</v>
      </c>
      <c r="M505" s="17" t="str">
        <f>IF(RIGHT(StatusBranchGrade[[#This Row],[Which]], 1) = "2", StatusBranchGrade[[#This Row],[Key]], "")</f>
        <v>Full-time Reserve  /  Marines  /  E-8</v>
      </c>
      <c r="N505" s="17" t="str">
        <f>IF(RIGHT(StatusBranchGrade[[#This Row],[Which]], 1) = "2", StatusBranchGrade[[#This Row],[Key0]], "")</f>
        <v>Full-time Reserve  /  Marines</v>
      </c>
      <c r="O505" s="17" t="s">
        <v>301</v>
      </c>
      <c r="P505" s="17"/>
      <c r="Q505" s="63">
        <f>--ISNUMBER(IF(StatusBranchGrade[[#This Row],[Sponsor0]] = 'Calculation Worksheet'!$AV$6 &amp; "  /  " &amp; 'Calculation Worksheet'!$AV$7, 1, ""))</f>
        <v>0</v>
      </c>
      <c r="R505" s="63" t="str">
        <f>IF(StatusBranchGrade[[#This Row],[S1]] = 1, COUNTIF($Q$3:Q505, 1), "")</f>
        <v/>
      </c>
      <c r="S505" s="63" t="str">
        <f>IFERROR(INDEX(StatusBranchGrade[Rank/Grade], MATCH(ROWS($R$3:R505)-1, StatusBranchGrade[S2], 0)), "") &amp; ""</f>
        <v/>
      </c>
      <c r="T505" s="63">
        <f>--ISNUMBER(IF(StatusBranchGrade[[#This Row],[Spouse0]] = 'Calculation Worksheet'!$CG$6 &amp; "  /  " &amp; 'Calculation Worksheet'!$CG$7, 1, ""))</f>
        <v>0</v>
      </c>
      <c r="U505" s="63" t="str">
        <f>IF(StatusBranchGrade[[#This Row],[T1]] = 1, COUNTIF($T$3:T505, 1), "")</f>
        <v/>
      </c>
      <c r="V505" s="63" t="str">
        <f>IFERROR(INDEX(StatusBranchGrade[Rank/Grade], MATCH(ROWS($U$3:U505)-1, StatusBranchGrade[T2], 0)), "") &amp; ""</f>
        <v/>
      </c>
      <c r="W505" s="63"/>
    </row>
    <row r="506" spans="1:23" x14ac:dyDescent="0.25">
      <c r="A506">
        <v>6</v>
      </c>
      <c r="B506" t="s">
        <v>218</v>
      </c>
      <c r="C506" t="s">
        <v>181</v>
      </c>
      <c r="D506" t="s">
        <v>97</v>
      </c>
      <c r="E506" t="str">
        <f>IF(StatusBranchGrade[[#This Row],[Status]] = "CYS", "DoD", StatusBranchGrade[[#This Row],[Rank]] &amp; "")</f>
        <v>E-9</v>
      </c>
      <c r="F506" t="s">
        <v>97</v>
      </c>
      <c r="G506" t="str">
        <f>IF(StatusBranchGrade[[#This Row],[Rank]] = StatusBranchGrade[[#This Row],[Grade]], StatusBranchGrade[[#This Row],[Rank]], StatusBranchGrade[[#This Row],[Grade]] &amp; "/" &amp; StatusBranchGrade[[#This Row],[Rank]]) &amp; ""</f>
        <v>E-9</v>
      </c>
      <c r="H50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E-9</v>
      </c>
      <c r="I506" s="17" t="str">
        <f>SUBSTITUTE(SUBSTITUTE(SUBSTITUTE(StatusBranchGrade[[#This Row],[Status]] &amp; "  /  " &amp; StatusBranchGrade[[#This Row],[Branch]] &amp; ";", "  /  ;", ";"), "  /  ;", ";"), ";", "")</f>
        <v>Full-time Reserve  /  Marines</v>
      </c>
      <c r="J506">
        <v>12</v>
      </c>
      <c r="K506" s="17" t="str">
        <f>IF(LEFT(StatusBranchGrade[[#This Row],[Which]], 1) = "1", StatusBranchGrade[[#This Row],[Key]], "")</f>
        <v>Full-time Reserve  /  Marines  /  E-9</v>
      </c>
      <c r="L506" s="17" t="str">
        <f>IF(LEFT(StatusBranchGrade[[#This Row],[Which]], 1) = "1", StatusBranchGrade[[#This Row],[Key0]], "")</f>
        <v>Full-time Reserve  /  Marines</v>
      </c>
      <c r="M506" s="17" t="str">
        <f>IF(RIGHT(StatusBranchGrade[[#This Row],[Which]], 1) = "2", StatusBranchGrade[[#This Row],[Key]], "")</f>
        <v>Full-time Reserve  /  Marines  /  E-9</v>
      </c>
      <c r="N506" s="17" t="str">
        <f>IF(RIGHT(StatusBranchGrade[[#This Row],[Which]], 1) = "2", StatusBranchGrade[[#This Row],[Key0]], "")</f>
        <v>Full-time Reserve  /  Marines</v>
      </c>
      <c r="O506" s="17" t="s">
        <v>301</v>
      </c>
      <c r="P506" s="17"/>
      <c r="Q506" s="63">
        <f>--ISNUMBER(IF(StatusBranchGrade[[#This Row],[Sponsor0]] = 'Calculation Worksheet'!$AV$6 &amp; "  /  " &amp; 'Calculation Worksheet'!$AV$7, 1, ""))</f>
        <v>0</v>
      </c>
      <c r="R506" s="63" t="str">
        <f>IF(StatusBranchGrade[[#This Row],[S1]] = 1, COUNTIF($Q$3:Q506, 1), "")</f>
        <v/>
      </c>
      <c r="S506" s="63" t="str">
        <f>IFERROR(INDEX(StatusBranchGrade[Rank/Grade], MATCH(ROWS($R$3:R506)-1, StatusBranchGrade[S2], 0)), "") &amp; ""</f>
        <v/>
      </c>
      <c r="T506" s="63">
        <f>--ISNUMBER(IF(StatusBranchGrade[[#This Row],[Spouse0]] = 'Calculation Worksheet'!$CG$6 &amp; "  /  " &amp; 'Calculation Worksheet'!$CG$7, 1, ""))</f>
        <v>0</v>
      </c>
      <c r="U506" s="63" t="str">
        <f>IF(StatusBranchGrade[[#This Row],[T1]] = 1, COUNTIF($T$3:T506, 1), "")</f>
        <v/>
      </c>
      <c r="V506" s="63" t="str">
        <f>IFERROR(INDEX(StatusBranchGrade[Rank/Grade], MATCH(ROWS($U$3:U506)-1, StatusBranchGrade[T2], 0)), "") &amp; ""</f>
        <v/>
      </c>
      <c r="W506" s="63"/>
    </row>
    <row r="507" spans="1:23" x14ac:dyDescent="0.25">
      <c r="A507">
        <v>6</v>
      </c>
      <c r="B507" t="s">
        <v>218</v>
      </c>
      <c r="C507" t="s">
        <v>181</v>
      </c>
      <c r="D507" t="s">
        <v>91</v>
      </c>
      <c r="E507" t="str">
        <f>IF(StatusBranchGrade[[#This Row],[Status]] = "CYS", "DoD", StatusBranchGrade[[#This Row],[Rank]] &amp; "")</f>
        <v>O-1</v>
      </c>
      <c r="F507" t="s">
        <v>91</v>
      </c>
      <c r="G507" t="str">
        <f>IF(StatusBranchGrade[[#This Row],[Rank]] = StatusBranchGrade[[#This Row],[Grade]], StatusBranchGrade[[#This Row],[Rank]], StatusBranchGrade[[#This Row],[Grade]] &amp; "/" &amp; StatusBranchGrade[[#This Row],[Rank]]) &amp; ""</f>
        <v>O-1</v>
      </c>
      <c r="H50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O-1</v>
      </c>
      <c r="I507" s="17" t="str">
        <f>SUBSTITUTE(SUBSTITUTE(SUBSTITUTE(StatusBranchGrade[[#This Row],[Status]] &amp; "  /  " &amp; StatusBranchGrade[[#This Row],[Branch]] &amp; ";", "  /  ;", ";"), "  /  ;", ";"), ";", "")</f>
        <v>Full-time Reserve  /  Marines</v>
      </c>
      <c r="J507">
        <v>12</v>
      </c>
      <c r="K507" s="17" t="str">
        <f>IF(LEFT(StatusBranchGrade[[#This Row],[Which]], 1) = "1", StatusBranchGrade[[#This Row],[Key]], "")</f>
        <v>Full-time Reserve  /  Marines  /  O-1</v>
      </c>
      <c r="L507" s="17" t="str">
        <f>IF(LEFT(StatusBranchGrade[[#This Row],[Which]], 1) = "1", StatusBranchGrade[[#This Row],[Key0]], "")</f>
        <v>Full-time Reserve  /  Marines</v>
      </c>
      <c r="M507" s="17" t="str">
        <f>IF(RIGHT(StatusBranchGrade[[#This Row],[Which]], 1) = "2", StatusBranchGrade[[#This Row],[Key]], "")</f>
        <v>Full-time Reserve  /  Marines  /  O-1</v>
      </c>
      <c r="N507" s="17" t="str">
        <f>IF(RIGHT(StatusBranchGrade[[#This Row],[Which]], 1) = "2", StatusBranchGrade[[#This Row],[Key0]], "")</f>
        <v>Full-time Reserve  /  Marines</v>
      </c>
      <c r="O507" s="17" t="s">
        <v>301</v>
      </c>
      <c r="P507" s="17"/>
      <c r="Q507" s="63">
        <f>--ISNUMBER(IF(StatusBranchGrade[[#This Row],[Sponsor0]] = 'Calculation Worksheet'!$AV$6 &amp; "  /  " &amp; 'Calculation Worksheet'!$AV$7, 1, ""))</f>
        <v>0</v>
      </c>
      <c r="R507" s="63" t="str">
        <f>IF(StatusBranchGrade[[#This Row],[S1]] = 1, COUNTIF($Q$3:Q507, 1), "")</f>
        <v/>
      </c>
      <c r="S507" s="63" t="str">
        <f>IFERROR(INDEX(StatusBranchGrade[Rank/Grade], MATCH(ROWS($R$3:R507)-1, StatusBranchGrade[S2], 0)), "") &amp; ""</f>
        <v/>
      </c>
      <c r="T507" s="63">
        <f>--ISNUMBER(IF(StatusBranchGrade[[#This Row],[Spouse0]] = 'Calculation Worksheet'!$CG$6 &amp; "  /  " &amp; 'Calculation Worksheet'!$CG$7, 1, ""))</f>
        <v>0</v>
      </c>
      <c r="U507" s="63" t="str">
        <f>IF(StatusBranchGrade[[#This Row],[T1]] = 1, COUNTIF($T$3:T507, 1), "")</f>
        <v/>
      </c>
      <c r="V507" s="63" t="str">
        <f>IFERROR(INDEX(StatusBranchGrade[Rank/Grade], MATCH(ROWS($U$3:U507)-1, StatusBranchGrade[T2], 0)), "") &amp; ""</f>
        <v/>
      </c>
      <c r="W507" s="63"/>
    </row>
    <row r="508" spans="1:23" x14ac:dyDescent="0.25">
      <c r="A508">
        <v>6</v>
      </c>
      <c r="B508" t="s">
        <v>218</v>
      </c>
      <c r="C508" t="s">
        <v>181</v>
      </c>
      <c r="D508" s="75" t="s">
        <v>10</v>
      </c>
      <c r="E508" s="75" t="str">
        <f>IF(StatusBranchGrade[[#This Row],[Status]] = "CYS", "DoD", StatusBranchGrade[[#This Row],[Rank]] &amp; "")</f>
        <v>O1E</v>
      </c>
      <c r="F508" s="75" t="s">
        <v>91</v>
      </c>
      <c r="G508" s="75" t="str">
        <f>IF(StatusBranchGrade[[#This Row],[Rank]] = StatusBranchGrade[[#This Row],[Grade]], StatusBranchGrade[[#This Row],[Rank]], StatusBranchGrade[[#This Row],[Grade]] &amp; "/" &amp; StatusBranchGrade[[#This Row],[Rank]]) &amp; ""</f>
        <v>O-1/O1E</v>
      </c>
      <c r="H50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O-1/O1E</v>
      </c>
      <c r="I508" s="17" t="str">
        <f>SUBSTITUTE(SUBSTITUTE(SUBSTITUTE(StatusBranchGrade[[#This Row],[Status]] &amp; "  /  " &amp; StatusBranchGrade[[#This Row],[Branch]] &amp; ";", "  /  ;", ";"), "  /  ;", ";"), ";", "")</f>
        <v>Full-time Reserve  /  Marines</v>
      </c>
      <c r="J508">
        <v>12</v>
      </c>
      <c r="K508" s="17" t="str">
        <f>IF(LEFT(StatusBranchGrade[[#This Row],[Which]], 1) = "1", StatusBranchGrade[[#This Row],[Key]], "")</f>
        <v>Full-time Reserve  /  Marines  /  O-1/O1E</v>
      </c>
      <c r="L508" s="17" t="str">
        <f>IF(LEFT(StatusBranchGrade[[#This Row],[Which]], 1) = "1", StatusBranchGrade[[#This Row],[Key0]], "")</f>
        <v>Full-time Reserve  /  Marines</v>
      </c>
      <c r="M508" s="17" t="str">
        <f>IF(RIGHT(StatusBranchGrade[[#This Row],[Which]], 1) = "2", StatusBranchGrade[[#This Row],[Key]], "")</f>
        <v>Full-time Reserve  /  Marines  /  O-1/O1E</v>
      </c>
      <c r="N508" s="17" t="str">
        <f>IF(RIGHT(StatusBranchGrade[[#This Row],[Which]], 1) = "2", StatusBranchGrade[[#This Row],[Key0]], "")</f>
        <v>Full-time Reserve  /  Marines</v>
      </c>
      <c r="O508" s="17" t="s">
        <v>301</v>
      </c>
      <c r="P508" s="17"/>
      <c r="Q508" s="63">
        <f>--ISNUMBER(IF(StatusBranchGrade[[#This Row],[Sponsor0]] = 'Calculation Worksheet'!$AV$6 &amp; "  /  " &amp; 'Calculation Worksheet'!$AV$7, 1, ""))</f>
        <v>0</v>
      </c>
      <c r="R508" s="63" t="str">
        <f>IF(StatusBranchGrade[[#This Row],[S1]] = 1, COUNTIF($Q$3:Q508, 1), "")</f>
        <v/>
      </c>
      <c r="S508" s="63" t="str">
        <f>IFERROR(INDEX(StatusBranchGrade[Rank/Grade], MATCH(ROWS($R$3:R508)-1, StatusBranchGrade[S2], 0)), "") &amp; ""</f>
        <v/>
      </c>
      <c r="T508" s="63">
        <f>--ISNUMBER(IF(StatusBranchGrade[[#This Row],[Spouse0]] = 'Calculation Worksheet'!$CG$6 &amp; "  /  " &amp; 'Calculation Worksheet'!$CG$7, 1, ""))</f>
        <v>0</v>
      </c>
      <c r="U508" s="63" t="str">
        <f>IF(StatusBranchGrade[[#This Row],[T1]] = 1, COUNTIF($T$3:T508, 1), "")</f>
        <v/>
      </c>
      <c r="V508" s="63" t="str">
        <f>IFERROR(INDEX(StatusBranchGrade[Rank/Grade], MATCH(ROWS($U$3:U508)-1, StatusBranchGrade[T2], 0)), "") &amp; ""</f>
        <v/>
      </c>
      <c r="W508" s="63"/>
    </row>
    <row r="509" spans="1:23" x14ac:dyDescent="0.25">
      <c r="A509">
        <v>6</v>
      </c>
      <c r="B509" t="s">
        <v>218</v>
      </c>
      <c r="C509" t="s">
        <v>181</v>
      </c>
      <c r="D509" t="s">
        <v>82</v>
      </c>
      <c r="E509" t="str">
        <f>IF(StatusBranchGrade[[#This Row],[Status]] = "CYS", "DoD", StatusBranchGrade[[#This Row],[Rank]] &amp; "")</f>
        <v>O-10</v>
      </c>
      <c r="F509" t="s">
        <v>82</v>
      </c>
      <c r="G509" t="str">
        <f>IF(StatusBranchGrade[[#This Row],[Rank]] = StatusBranchGrade[[#This Row],[Grade]], StatusBranchGrade[[#This Row],[Rank]], StatusBranchGrade[[#This Row],[Grade]] &amp; "/" &amp; StatusBranchGrade[[#This Row],[Rank]]) &amp; ""</f>
        <v>O-10</v>
      </c>
      <c r="H50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O-10</v>
      </c>
      <c r="I509" s="17" t="str">
        <f>SUBSTITUTE(SUBSTITUTE(SUBSTITUTE(StatusBranchGrade[[#This Row],[Status]] &amp; "  /  " &amp; StatusBranchGrade[[#This Row],[Branch]] &amp; ";", "  /  ;", ";"), "  /  ;", ";"), ";", "")</f>
        <v>Full-time Reserve  /  Marines</v>
      </c>
      <c r="J509">
        <v>12</v>
      </c>
      <c r="K509" s="17" t="str">
        <f>IF(LEFT(StatusBranchGrade[[#This Row],[Which]], 1) = "1", StatusBranchGrade[[#This Row],[Key]], "")</f>
        <v>Full-time Reserve  /  Marines  /  O-10</v>
      </c>
      <c r="L509" s="17" t="str">
        <f>IF(LEFT(StatusBranchGrade[[#This Row],[Which]], 1) = "1", StatusBranchGrade[[#This Row],[Key0]], "")</f>
        <v>Full-time Reserve  /  Marines</v>
      </c>
      <c r="M509" s="17" t="str">
        <f>IF(RIGHT(StatusBranchGrade[[#This Row],[Which]], 1) = "2", StatusBranchGrade[[#This Row],[Key]], "")</f>
        <v>Full-time Reserve  /  Marines  /  O-10</v>
      </c>
      <c r="N509" s="17" t="str">
        <f>IF(RIGHT(StatusBranchGrade[[#This Row],[Which]], 1) = "2", StatusBranchGrade[[#This Row],[Key0]], "")</f>
        <v>Full-time Reserve  /  Marines</v>
      </c>
      <c r="O509" s="17" t="s">
        <v>301</v>
      </c>
      <c r="P509" s="17"/>
      <c r="Q509" s="63">
        <f>--ISNUMBER(IF(StatusBranchGrade[[#This Row],[Sponsor0]] = 'Calculation Worksheet'!$AV$6 &amp; "  /  " &amp; 'Calculation Worksheet'!$AV$7, 1, ""))</f>
        <v>0</v>
      </c>
      <c r="R509" s="63" t="str">
        <f>IF(StatusBranchGrade[[#This Row],[S1]] = 1, COUNTIF($Q$3:Q509, 1), "")</f>
        <v/>
      </c>
      <c r="S509" s="63" t="str">
        <f>IFERROR(INDEX(StatusBranchGrade[Rank/Grade], MATCH(ROWS($R$3:R509)-1, StatusBranchGrade[S2], 0)), "") &amp; ""</f>
        <v/>
      </c>
      <c r="T509" s="63">
        <f>--ISNUMBER(IF(StatusBranchGrade[[#This Row],[Spouse0]] = 'Calculation Worksheet'!$CG$6 &amp; "  /  " &amp; 'Calculation Worksheet'!$CG$7, 1, ""))</f>
        <v>0</v>
      </c>
      <c r="U509" s="63" t="str">
        <f>IF(StatusBranchGrade[[#This Row],[T1]] = 1, COUNTIF($T$3:T509, 1), "")</f>
        <v/>
      </c>
      <c r="V509" s="63" t="str">
        <f>IFERROR(INDEX(StatusBranchGrade[Rank/Grade], MATCH(ROWS($U$3:U509)-1, StatusBranchGrade[T2], 0)), "") &amp; ""</f>
        <v/>
      </c>
      <c r="W509" s="63"/>
    </row>
    <row r="510" spans="1:23" x14ac:dyDescent="0.25">
      <c r="A510">
        <v>6</v>
      </c>
      <c r="B510" t="s">
        <v>218</v>
      </c>
      <c r="C510" t="s">
        <v>181</v>
      </c>
      <c r="D510" t="s">
        <v>90</v>
      </c>
      <c r="E510" t="str">
        <f>IF(StatusBranchGrade[[#This Row],[Status]] = "CYS", "DoD", StatusBranchGrade[[#This Row],[Rank]] &amp; "")</f>
        <v>O-2</v>
      </c>
      <c r="F510" t="s">
        <v>90</v>
      </c>
      <c r="G510" t="str">
        <f>IF(StatusBranchGrade[[#This Row],[Rank]] = StatusBranchGrade[[#This Row],[Grade]], StatusBranchGrade[[#This Row],[Rank]], StatusBranchGrade[[#This Row],[Grade]] &amp; "/" &amp; StatusBranchGrade[[#This Row],[Rank]]) &amp; ""</f>
        <v>O-2</v>
      </c>
      <c r="H51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O-2</v>
      </c>
      <c r="I510" s="17" t="str">
        <f>SUBSTITUTE(SUBSTITUTE(SUBSTITUTE(StatusBranchGrade[[#This Row],[Status]] &amp; "  /  " &amp; StatusBranchGrade[[#This Row],[Branch]] &amp; ";", "  /  ;", ";"), "  /  ;", ";"), ";", "")</f>
        <v>Full-time Reserve  /  Marines</v>
      </c>
      <c r="J510">
        <v>12</v>
      </c>
      <c r="K510" s="17" t="str">
        <f>IF(LEFT(StatusBranchGrade[[#This Row],[Which]], 1) = "1", StatusBranchGrade[[#This Row],[Key]], "")</f>
        <v>Full-time Reserve  /  Marines  /  O-2</v>
      </c>
      <c r="L510" s="17" t="str">
        <f>IF(LEFT(StatusBranchGrade[[#This Row],[Which]], 1) = "1", StatusBranchGrade[[#This Row],[Key0]], "")</f>
        <v>Full-time Reserve  /  Marines</v>
      </c>
      <c r="M510" s="17" t="str">
        <f>IF(RIGHT(StatusBranchGrade[[#This Row],[Which]], 1) = "2", StatusBranchGrade[[#This Row],[Key]], "")</f>
        <v>Full-time Reserve  /  Marines  /  O-2</v>
      </c>
      <c r="N510" s="17" t="str">
        <f>IF(RIGHT(StatusBranchGrade[[#This Row],[Which]], 1) = "2", StatusBranchGrade[[#This Row],[Key0]], "")</f>
        <v>Full-time Reserve  /  Marines</v>
      </c>
      <c r="O510" s="17" t="s">
        <v>301</v>
      </c>
      <c r="P510" s="17"/>
      <c r="Q510" s="63">
        <f>--ISNUMBER(IF(StatusBranchGrade[[#This Row],[Sponsor0]] = 'Calculation Worksheet'!$AV$6 &amp; "  /  " &amp; 'Calculation Worksheet'!$AV$7, 1, ""))</f>
        <v>0</v>
      </c>
      <c r="R510" s="63" t="str">
        <f>IF(StatusBranchGrade[[#This Row],[S1]] = 1, COUNTIF($Q$3:Q510, 1), "")</f>
        <v/>
      </c>
      <c r="S510" s="63" t="str">
        <f>IFERROR(INDEX(StatusBranchGrade[Rank/Grade], MATCH(ROWS($R$3:R510)-1, StatusBranchGrade[S2], 0)), "") &amp; ""</f>
        <v/>
      </c>
      <c r="T510" s="63">
        <f>--ISNUMBER(IF(StatusBranchGrade[[#This Row],[Spouse0]] = 'Calculation Worksheet'!$CG$6 &amp; "  /  " &amp; 'Calculation Worksheet'!$CG$7, 1, ""))</f>
        <v>0</v>
      </c>
      <c r="U510" s="63" t="str">
        <f>IF(StatusBranchGrade[[#This Row],[T1]] = 1, COUNTIF($T$3:T510, 1), "")</f>
        <v/>
      </c>
      <c r="V510" s="63" t="str">
        <f>IFERROR(INDEX(StatusBranchGrade[Rank/Grade], MATCH(ROWS($U$3:U510)-1, StatusBranchGrade[T2], 0)), "") &amp; ""</f>
        <v/>
      </c>
      <c r="W510" s="63"/>
    </row>
    <row r="511" spans="1:23" x14ac:dyDescent="0.25">
      <c r="A511">
        <v>6</v>
      </c>
      <c r="B511" t="s">
        <v>218</v>
      </c>
      <c r="C511" t="s">
        <v>181</v>
      </c>
      <c r="D511" s="75" t="s">
        <v>11</v>
      </c>
      <c r="E511" s="75" t="str">
        <f>IF(StatusBranchGrade[[#This Row],[Status]] = "CYS", "DoD", StatusBranchGrade[[#This Row],[Rank]] &amp; "")</f>
        <v>O2E</v>
      </c>
      <c r="F511" s="75" t="s">
        <v>90</v>
      </c>
      <c r="G511" s="75" t="str">
        <f>IF(StatusBranchGrade[[#This Row],[Rank]] = StatusBranchGrade[[#This Row],[Grade]], StatusBranchGrade[[#This Row],[Rank]], StatusBranchGrade[[#This Row],[Grade]] &amp; "/" &amp; StatusBranchGrade[[#This Row],[Rank]]) &amp; ""</f>
        <v>O-2/O2E</v>
      </c>
      <c r="H51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O-2/O2E</v>
      </c>
      <c r="I511" s="17" t="str">
        <f>SUBSTITUTE(SUBSTITUTE(SUBSTITUTE(StatusBranchGrade[[#This Row],[Status]] &amp; "  /  " &amp; StatusBranchGrade[[#This Row],[Branch]] &amp; ";", "  /  ;", ";"), "  /  ;", ";"), ";", "")</f>
        <v>Full-time Reserve  /  Marines</v>
      </c>
      <c r="J511">
        <v>12</v>
      </c>
      <c r="K511" s="17" t="str">
        <f>IF(LEFT(StatusBranchGrade[[#This Row],[Which]], 1) = "1", StatusBranchGrade[[#This Row],[Key]], "")</f>
        <v>Full-time Reserve  /  Marines  /  O-2/O2E</v>
      </c>
      <c r="L511" s="17" t="str">
        <f>IF(LEFT(StatusBranchGrade[[#This Row],[Which]], 1) = "1", StatusBranchGrade[[#This Row],[Key0]], "")</f>
        <v>Full-time Reserve  /  Marines</v>
      </c>
      <c r="M511" s="17" t="str">
        <f>IF(RIGHT(StatusBranchGrade[[#This Row],[Which]], 1) = "2", StatusBranchGrade[[#This Row],[Key]], "")</f>
        <v>Full-time Reserve  /  Marines  /  O-2/O2E</v>
      </c>
      <c r="N511" s="17" t="str">
        <f>IF(RIGHT(StatusBranchGrade[[#This Row],[Which]], 1) = "2", StatusBranchGrade[[#This Row],[Key0]], "")</f>
        <v>Full-time Reserve  /  Marines</v>
      </c>
      <c r="O511" s="17" t="s">
        <v>301</v>
      </c>
      <c r="P511" s="17"/>
      <c r="Q511" s="63">
        <f>--ISNUMBER(IF(StatusBranchGrade[[#This Row],[Sponsor0]] = 'Calculation Worksheet'!$AV$6 &amp; "  /  " &amp; 'Calculation Worksheet'!$AV$7, 1, ""))</f>
        <v>0</v>
      </c>
      <c r="R511" s="63" t="str">
        <f>IF(StatusBranchGrade[[#This Row],[S1]] = 1, COUNTIF($Q$3:Q511, 1), "")</f>
        <v/>
      </c>
      <c r="S511" s="63" t="str">
        <f>IFERROR(INDEX(StatusBranchGrade[Rank/Grade], MATCH(ROWS($R$3:R511)-1, StatusBranchGrade[S2], 0)), "") &amp; ""</f>
        <v/>
      </c>
      <c r="T511" s="63">
        <f>--ISNUMBER(IF(StatusBranchGrade[[#This Row],[Spouse0]] = 'Calculation Worksheet'!$CG$6 &amp; "  /  " &amp; 'Calculation Worksheet'!$CG$7, 1, ""))</f>
        <v>0</v>
      </c>
      <c r="U511" s="63" t="str">
        <f>IF(StatusBranchGrade[[#This Row],[T1]] = 1, COUNTIF($T$3:T511, 1), "")</f>
        <v/>
      </c>
      <c r="V511" s="63" t="str">
        <f>IFERROR(INDEX(StatusBranchGrade[Rank/Grade], MATCH(ROWS($U$3:U511)-1, StatusBranchGrade[T2], 0)), "") &amp; ""</f>
        <v/>
      </c>
      <c r="W511" s="63"/>
    </row>
    <row r="512" spans="1:23" x14ac:dyDescent="0.25">
      <c r="A512">
        <v>6</v>
      </c>
      <c r="B512" t="s">
        <v>218</v>
      </c>
      <c r="C512" t="s">
        <v>181</v>
      </c>
      <c r="D512" t="s">
        <v>89</v>
      </c>
      <c r="E512" t="str">
        <f>IF(StatusBranchGrade[[#This Row],[Status]] = "CYS", "DoD", StatusBranchGrade[[#This Row],[Rank]] &amp; "")</f>
        <v>O-3</v>
      </c>
      <c r="F512" t="s">
        <v>89</v>
      </c>
      <c r="G512" t="str">
        <f>IF(StatusBranchGrade[[#This Row],[Rank]] = StatusBranchGrade[[#This Row],[Grade]], StatusBranchGrade[[#This Row],[Rank]], StatusBranchGrade[[#This Row],[Grade]] &amp; "/" &amp; StatusBranchGrade[[#This Row],[Rank]]) &amp; ""</f>
        <v>O-3</v>
      </c>
      <c r="H51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O-3</v>
      </c>
      <c r="I512" s="17" t="str">
        <f>SUBSTITUTE(SUBSTITUTE(SUBSTITUTE(StatusBranchGrade[[#This Row],[Status]] &amp; "  /  " &amp; StatusBranchGrade[[#This Row],[Branch]] &amp; ";", "  /  ;", ";"), "  /  ;", ";"), ";", "")</f>
        <v>Full-time Reserve  /  Marines</v>
      </c>
      <c r="J512">
        <v>12</v>
      </c>
      <c r="K512" s="17" t="str">
        <f>IF(LEFT(StatusBranchGrade[[#This Row],[Which]], 1) = "1", StatusBranchGrade[[#This Row],[Key]], "")</f>
        <v>Full-time Reserve  /  Marines  /  O-3</v>
      </c>
      <c r="L512" s="17" t="str">
        <f>IF(LEFT(StatusBranchGrade[[#This Row],[Which]], 1) = "1", StatusBranchGrade[[#This Row],[Key0]], "")</f>
        <v>Full-time Reserve  /  Marines</v>
      </c>
      <c r="M512" s="17" t="str">
        <f>IF(RIGHT(StatusBranchGrade[[#This Row],[Which]], 1) = "2", StatusBranchGrade[[#This Row],[Key]], "")</f>
        <v>Full-time Reserve  /  Marines  /  O-3</v>
      </c>
      <c r="N512" s="17" t="str">
        <f>IF(RIGHT(StatusBranchGrade[[#This Row],[Which]], 1) = "2", StatusBranchGrade[[#This Row],[Key0]], "")</f>
        <v>Full-time Reserve  /  Marines</v>
      </c>
      <c r="O512" s="17" t="s">
        <v>301</v>
      </c>
      <c r="P512" s="17"/>
      <c r="Q512" s="63">
        <f>--ISNUMBER(IF(StatusBranchGrade[[#This Row],[Sponsor0]] = 'Calculation Worksheet'!$AV$6 &amp; "  /  " &amp; 'Calculation Worksheet'!$AV$7, 1, ""))</f>
        <v>0</v>
      </c>
      <c r="R512" s="63" t="str">
        <f>IF(StatusBranchGrade[[#This Row],[S1]] = 1, COUNTIF($Q$3:Q512, 1), "")</f>
        <v/>
      </c>
      <c r="S512" s="63" t="str">
        <f>IFERROR(INDEX(StatusBranchGrade[Rank/Grade], MATCH(ROWS($R$3:R512)-1, StatusBranchGrade[S2], 0)), "") &amp; ""</f>
        <v/>
      </c>
      <c r="T512" s="63">
        <f>--ISNUMBER(IF(StatusBranchGrade[[#This Row],[Spouse0]] = 'Calculation Worksheet'!$CG$6 &amp; "  /  " &amp; 'Calculation Worksheet'!$CG$7, 1, ""))</f>
        <v>0</v>
      </c>
      <c r="U512" s="63" t="str">
        <f>IF(StatusBranchGrade[[#This Row],[T1]] = 1, COUNTIF($T$3:T512, 1), "")</f>
        <v/>
      </c>
      <c r="V512" s="63" t="str">
        <f>IFERROR(INDEX(StatusBranchGrade[Rank/Grade], MATCH(ROWS($U$3:U512)-1, StatusBranchGrade[T2], 0)), "") &amp; ""</f>
        <v/>
      </c>
      <c r="W512" s="63"/>
    </row>
    <row r="513" spans="1:23" x14ac:dyDescent="0.25">
      <c r="A513">
        <v>6</v>
      </c>
      <c r="B513" t="s">
        <v>218</v>
      </c>
      <c r="C513" t="s">
        <v>181</v>
      </c>
      <c r="D513" s="75" t="s">
        <v>12</v>
      </c>
      <c r="E513" s="75" t="str">
        <f>IF(StatusBranchGrade[[#This Row],[Status]] = "CYS", "DoD", StatusBranchGrade[[#This Row],[Rank]] &amp; "")</f>
        <v>O3E</v>
      </c>
      <c r="F513" s="75" t="s">
        <v>89</v>
      </c>
      <c r="G513" s="75" t="str">
        <f>IF(StatusBranchGrade[[#This Row],[Rank]] = StatusBranchGrade[[#This Row],[Grade]], StatusBranchGrade[[#This Row],[Rank]], StatusBranchGrade[[#This Row],[Grade]] &amp; "/" &amp; StatusBranchGrade[[#This Row],[Rank]]) &amp; ""</f>
        <v>O-3/O3E</v>
      </c>
      <c r="H51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O-3/O3E</v>
      </c>
      <c r="I513" s="17" t="str">
        <f>SUBSTITUTE(SUBSTITUTE(SUBSTITUTE(StatusBranchGrade[[#This Row],[Status]] &amp; "  /  " &amp; StatusBranchGrade[[#This Row],[Branch]] &amp; ";", "  /  ;", ";"), "  /  ;", ";"), ";", "")</f>
        <v>Full-time Reserve  /  Marines</v>
      </c>
      <c r="J513">
        <v>12</v>
      </c>
      <c r="K513" s="17" t="str">
        <f>IF(LEFT(StatusBranchGrade[[#This Row],[Which]], 1) = "1", StatusBranchGrade[[#This Row],[Key]], "")</f>
        <v>Full-time Reserve  /  Marines  /  O-3/O3E</v>
      </c>
      <c r="L513" s="17" t="str">
        <f>IF(LEFT(StatusBranchGrade[[#This Row],[Which]], 1) = "1", StatusBranchGrade[[#This Row],[Key0]], "")</f>
        <v>Full-time Reserve  /  Marines</v>
      </c>
      <c r="M513" s="17" t="str">
        <f>IF(RIGHT(StatusBranchGrade[[#This Row],[Which]], 1) = "2", StatusBranchGrade[[#This Row],[Key]], "")</f>
        <v>Full-time Reserve  /  Marines  /  O-3/O3E</v>
      </c>
      <c r="N513" s="17" t="str">
        <f>IF(RIGHT(StatusBranchGrade[[#This Row],[Which]], 1) = "2", StatusBranchGrade[[#This Row],[Key0]], "")</f>
        <v>Full-time Reserve  /  Marines</v>
      </c>
      <c r="O513" s="17" t="s">
        <v>301</v>
      </c>
      <c r="P513" s="17"/>
      <c r="Q513" s="63">
        <f>--ISNUMBER(IF(StatusBranchGrade[[#This Row],[Sponsor0]] = 'Calculation Worksheet'!$AV$6 &amp; "  /  " &amp; 'Calculation Worksheet'!$AV$7, 1, ""))</f>
        <v>0</v>
      </c>
      <c r="R513" s="63" t="str">
        <f>IF(StatusBranchGrade[[#This Row],[S1]] = 1, COUNTIF($Q$3:Q513, 1), "")</f>
        <v/>
      </c>
      <c r="S513" s="63" t="str">
        <f>IFERROR(INDEX(StatusBranchGrade[Rank/Grade], MATCH(ROWS($R$3:R513)-1, StatusBranchGrade[S2], 0)), "") &amp; ""</f>
        <v/>
      </c>
      <c r="T513" s="63">
        <f>--ISNUMBER(IF(StatusBranchGrade[[#This Row],[Spouse0]] = 'Calculation Worksheet'!$CG$6 &amp; "  /  " &amp; 'Calculation Worksheet'!$CG$7, 1, ""))</f>
        <v>0</v>
      </c>
      <c r="U513" s="63" t="str">
        <f>IF(StatusBranchGrade[[#This Row],[T1]] = 1, COUNTIF($T$3:T513, 1), "")</f>
        <v/>
      </c>
      <c r="V513" s="63" t="str">
        <f>IFERROR(INDEX(StatusBranchGrade[Rank/Grade], MATCH(ROWS($U$3:U513)-1, StatusBranchGrade[T2], 0)), "") &amp; ""</f>
        <v/>
      </c>
      <c r="W513" s="63"/>
    </row>
    <row r="514" spans="1:23" x14ac:dyDescent="0.25">
      <c r="A514">
        <v>6</v>
      </c>
      <c r="B514" t="s">
        <v>218</v>
      </c>
      <c r="C514" t="s">
        <v>181</v>
      </c>
      <c r="D514" t="s">
        <v>88</v>
      </c>
      <c r="E514" t="str">
        <f>IF(StatusBranchGrade[[#This Row],[Status]] = "CYS", "DoD", StatusBranchGrade[[#This Row],[Rank]] &amp; "")</f>
        <v>O-4</v>
      </c>
      <c r="F514" t="s">
        <v>88</v>
      </c>
      <c r="G514" t="str">
        <f>IF(StatusBranchGrade[[#This Row],[Rank]] = StatusBranchGrade[[#This Row],[Grade]], StatusBranchGrade[[#This Row],[Rank]], StatusBranchGrade[[#This Row],[Grade]] &amp; "/" &amp; StatusBranchGrade[[#This Row],[Rank]]) &amp; ""</f>
        <v>O-4</v>
      </c>
      <c r="H51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O-4</v>
      </c>
      <c r="I514" s="17" t="str">
        <f>SUBSTITUTE(SUBSTITUTE(SUBSTITUTE(StatusBranchGrade[[#This Row],[Status]] &amp; "  /  " &amp; StatusBranchGrade[[#This Row],[Branch]] &amp; ";", "  /  ;", ";"), "  /  ;", ";"), ";", "")</f>
        <v>Full-time Reserve  /  Marines</v>
      </c>
      <c r="J514">
        <v>12</v>
      </c>
      <c r="K514" s="17" t="str">
        <f>IF(LEFT(StatusBranchGrade[[#This Row],[Which]], 1) = "1", StatusBranchGrade[[#This Row],[Key]], "")</f>
        <v>Full-time Reserve  /  Marines  /  O-4</v>
      </c>
      <c r="L514" s="17" t="str">
        <f>IF(LEFT(StatusBranchGrade[[#This Row],[Which]], 1) = "1", StatusBranchGrade[[#This Row],[Key0]], "")</f>
        <v>Full-time Reserve  /  Marines</v>
      </c>
      <c r="M514" s="17" t="str">
        <f>IF(RIGHT(StatusBranchGrade[[#This Row],[Which]], 1) = "2", StatusBranchGrade[[#This Row],[Key]], "")</f>
        <v>Full-time Reserve  /  Marines  /  O-4</v>
      </c>
      <c r="N514" s="17" t="str">
        <f>IF(RIGHT(StatusBranchGrade[[#This Row],[Which]], 1) = "2", StatusBranchGrade[[#This Row],[Key0]], "")</f>
        <v>Full-time Reserve  /  Marines</v>
      </c>
      <c r="O514" s="17" t="s">
        <v>301</v>
      </c>
      <c r="P514" s="17"/>
      <c r="Q514" s="63">
        <f>--ISNUMBER(IF(StatusBranchGrade[[#This Row],[Sponsor0]] = 'Calculation Worksheet'!$AV$6 &amp; "  /  " &amp; 'Calculation Worksheet'!$AV$7, 1, ""))</f>
        <v>0</v>
      </c>
      <c r="R514" s="63" t="str">
        <f>IF(StatusBranchGrade[[#This Row],[S1]] = 1, COUNTIF($Q$3:Q514, 1), "")</f>
        <v/>
      </c>
      <c r="S514" s="63" t="str">
        <f>IFERROR(INDEX(StatusBranchGrade[Rank/Grade], MATCH(ROWS($R$3:R514)-1, StatusBranchGrade[S2], 0)), "") &amp; ""</f>
        <v/>
      </c>
      <c r="T514" s="63">
        <f>--ISNUMBER(IF(StatusBranchGrade[[#This Row],[Spouse0]] = 'Calculation Worksheet'!$CG$6 &amp; "  /  " &amp; 'Calculation Worksheet'!$CG$7, 1, ""))</f>
        <v>0</v>
      </c>
      <c r="U514" s="63" t="str">
        <f>IF(StatusBranchGrade[[#This Row],[T1]] = 1, COUNTIF($T$3:T514, 1), "")</f>
        <v/>
      </c>
      <c r="V514" s="63" t="str">
        <f>IFERROR(INDEX(StatusBranchGrade[Rank/Grade], MATCH(ROWS($U$3:U514)-1, StatusBranchGrade[T2], 0)), "") &amp; ""</f>
        <v/>
      </c>
      <c r="W514" s="63"/>
    </row>
    <row r="515" spans="1:23" x14ac:dyDescent="0.25">
      <c r="A515">
        <v>6</v>
      </c>
      <c r="B515" t="s">
        <v>218</v>
      </c>
      <c r="C515" t="s">
        <v>181</v>
      </c>
      <c r="D515" t="s">
        <v>87</v>
      </c>
      <c r="E515" t="str">
        <f>IF(StatusBranchGrade[[#This Row],[Status]] = "CYS", "DoD", StatusBranchGrade[[#This Row],[Rank]] &amp; "")</f>
        <v>O-5</v>
      </c>
      <c r="F515" t="s">
        <v>87</v>
      </c>
      <c r="G515" t="str">
        <f>IF(StatusBranchGrade[[#This Row],[Rank]] = StatusBranchGrade[[#This Row],[Grade]], StatusBranchGrade[[#This Row],[Rank]], StatusBranchGrade[[#This Row],[Grade]] &amp; "/" &amp; StatusBranchGrade[[#This Row],[Rank]]) &amp; ""</f>
        <v>O-5</v>
      </c>
      <c r="H51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O-5</v>
      </c>
      <c r="I515" s="17" t="str">
        <f>SUBSTITUTE(SUBSTITUTE(SUBSTITUTE(StatusBranchGrade[[#This Row],[Status]] &amp; "  /  " &amp; StatusBranchGrade[[#This Row],[Branch]] &amp; ";", "  /  ;", ";"), "  /  ;", ";"), ";", "")</f>
        <v>Full-time Reserve  /  Marines</v>
      </c>
      <c r="J515">
        <v>12</v>
      </c>
      <c r="K515" s="17" t="str">
        <f>IF(LEFT(StatusBranchGrade[[#This Row],[Which]], 1) = "1", StatusBranchGrade[[#This Row],[Key]], "")</f>
        <v>Full-time Reserve  /  Marines  /  O-5</v>
      </c>
      <c r="L515" s="17" t="str">
        <f>IF(LEFT(StatusBranchGrade[[#This Row],[Which]], 1) = "1", StatusBranchGrade[[#This Row],[Key0]], "")</f>
        <v>Full-time Reserve  /  Marines</v>
      </c>
      <c r="M515" s="17" t="str">
        <f>IF(RIGHT(StatusBranchGrade[[#This Row],[Which]], 1) = "2", StatusBranchGrade[[#This Row],[Key]], "")</f>
        <v>Full-time Reserve  /  Marines  /  O-5</v>
      </c>
      <c r="N515" s="17" t="str">
        <f>IF(RIGHT(StatusBranchGrade[[#This Row],[Which]], 1) = "2", StatusBranchGrade[[#This Row],[Key0]], "")</f>
        <v>Full-time Reserve  /  Marines</v>
      </c>
      <c r="O515" s="17" t="s">
        <v>301</v>
      </c>
      <c r="P515" s="17"/>
      <c r="Q515" s="63">
        <f>--ISNUMBER(IF(StatusBranchGrade[[#This Row],[Sponsor0]] = 'Calculation Worksheet'!$AV$6 &amp; "  /  " &amp; 'Calculation Worksheet'!$AV$7, 1, ""))</f>
        <v>0</v>
      </c>
      <c r="R515" s="63" t="str">
        <f>IF(StatusBranchGrade[[#This Row],[S1]] = 1, COUNTIF($Q$3:Q515, 1), "")</f>
        <v/>
      </c>
      <c r="S515" s="63" t="str">
        <f>IFERROR(INDEX(StatusBranchGrade[Rank/Grade], MATCH(ROWS($R$3:R515)-1, StatusBranchGrade[S2], 0)), "") &amp; ""</f>
        <v/>
      </c>
      <c r="T515" s="63">
        <f>--ISNUMBER(IF(StatusBranchGrade[[#This Row],[Spouse0]] = 'Calculation Worksheet'!$CG$6 &amp; "  /  " &amp; 'Calculation Worksheet'!$CG$7, 1, ""))</f>
        <v>0</v>
      </c>
      <c r="U515" s="63" t="str">
        <f>IF(StatusBranchGrade[[#This Row],[T1]] = 1, COUNTIF($T$3:T515, 1), "")</f>
        <v/>
      </c>
      <c r="V515" s="63" t="str">
        <f>IFERROR(INDEX(StatusBranchGrade[Rank/Grade], MATCH(ROWS($U$3:U515)-1, StatusBranchGrade[T2], 0)), "") &amp; ""</f>
        <v/>
      </c>
      <c r="W515" s="63"/>
    </row>
    <row r="516" spans="1:23" x14ac:dyDescent="0.25">
      <c r="A516">
        <v>6</v>
      </c>
      <c r="B516" t="s">
        <v>218</v>
      </c>
      <c r="C516" t="s">
        <v>181</v>
      </c>
      <c r="D516" t="s">
        <v>86</v>
      </c>
      <c r="E516" t="str">
        <f>IF(StatusBranchGrade[[#This Row],[Status]] = "CYS", "DoD", StatusBranchGrade[[#This Row],[Rank]] &amp; "")</f>
        <v>O-6</v>
      </c>
      <c r="F516" t="s">
        <v>86</v>
      </c>
      <c r="G516" t="str">
        <f>IF(StatusBranchGrade[[#This Row],[Rank]] = StatusBranchGrade[[#This Row],[Grade]], StatusBranchGrade[[#This Row],[Rank]], StatusBranchGrade[[#This Row],[Grade]] &amp; "/" &amp; StatusBranchGrade[[#This Row],[Rank]]) &amp; ""</f>
        <v>O-6</v>
      </c>
      <c r="H51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O-6</v>
      </c>
      <c r="I516" s="17" t="str">
        <f>SUBSTITUTE(SUBSTITUTE(SUBSTITUTE(StatusBranchGrade[[#This Row],[Status]] &amp; "  /  " &amp; StatusBranchGrade[[#This Row],[Branch]] &amp; ";", "  /  ;", ";"), "  /  ;", ";"), ";", "")</f>
        <v>Full-time Reserve  /  Marines</v>
      </c>
      <c r="J516">
        <v>12</v>
      </c>
      <c r="K516" s="17" t="str">
        <f>IF(LEFT(StatusBranchGrade[[#This Row],[Which]], 1) = "1", StatusBranchGrade[[#This Row],[Key]], "")</f>
        <v>Full-time Reserve  /  Marines  /  O-6</v>
      </c>
      <c r="L516" s="17" t="str">
        <f>IF(LEFT(StatusBranchGrade[[#This Row],[Which]], 1) = "1", StatusBranchGrade[[#This Row],[Key0]], "")</f>
        <v>Full-time Reserve  /  Marines</v>
      </c>
      <c r="M516" s="17" t="str">
        <f>IF(RIGHT(StatusBranchGrade[[#This Row],[Which]], 1) = "2", StatusBranchGrade[[#This Row],[Key]], "")</f>
        <v>Full-time Reserve  /  Marines  /  O-6</v>
      </c>
      <c r="N516" s="17" t="str">
        <f>IF(RIGHT(StatusBranchGrade[[#This Row],[Which]], 1) = "2", StatusBranchGrade[[#This Row],[Key0]], "")</f>
        <v>Full-time Reserve  /  Marines</v>
      </c>
      <c r="O516" s="17" t="s">
        <v>301</v>
      </c>
      <c r="P516" s="17"/>
      <c r="Q516" s="63">
        <f>--ISNUMBER(IF(StatusBranchGrade[[#This Row],[Sponsor0]] = 'Calculation Worksheet'!$AV$6 &amp; "  /  " &amp; 'Calculation Worksheet'!$AV$7, 1, ""))</f>
        <v>0</v>
      </c>
      <c r="R516" s="63" t="str">
        <f>IF(StatusBranchGrade[[#This Row],[S1]] = 1, COUNTIF($Q$3:Q516, 1), "")</f>
        <v/>
      </c>
      <c r="S516" s="63" t="str">
        <f>IFERROR(INDEX(StatusBranchGrade[Rank/Grade], MATCH(ROWS($R$3:R516)-1, StatusBranchGrade[S2], 0)), "") &amp; ""</f>
        <v/>
      </c>
      <c r="T516" s="63">
        <f>--ISNUMBER(IF(StatusBranchGrade[[#This Row],[Spouse0]] = 'Calculation Worksheet'!$CG$6 &amp; "  /  " &amp; 'Calculation Worksheet'!$CG$7, 1, ""))</f>
        <v>0</v>
      </c>
      <c r="U516" s="63" t="str">
        <f>IF(StatusBranchGrade[[#This Row],[T1]] = 1, COUNTIF($T$3:T516, 1), "")</f>
        <v/>
      </c>
      <c r="V516" s="63" t="str">
        <f>IFERROR(INDEX(StatusBranchGrade[Rank/Grade], MATCH(ROWS($U$3:U516)-1, StatusBranchGrade[T2], 0)), "") &amp; ""</f>
        <v/>
      </c>
      <c r="W516" s="63"/>
    </row>
    <row r="517" spans="1:23" x14ac:dyDescent="0.25">
      <c r="A517">
        <v>6</v>
      </c>
      <c r="B517" t="s">
        <v>218</v>
      </c>
      <c r="C517" t="s">
        <v>181</v>
      </c>
      <c r="D517" t="s">
        <v>85</v>
      </c>
      <c r="E517" t="str">
        <f>IF(StatusBranchGrade[[#This Row],[Status]] = "CYS", "DoD", StatusBranchGrade[[#This Row],[Rank]] &amp; "")</f>
        <v>O-7</v>
      </c>
      <c r="F517" t="s">
        <v>85</v>
      </c>
      <c r="G517" t="str">
        <f>IF(StatusBranchGrade[[#This Row],[Rank]] = StatusBranchGrade[[#This Row],[Grade]], StatusBranchGrade[[#This Row],[Rank]], StatusBranchGrade[[#This Row],[Grade]] &amp; "/" &amp; StatusBranchGrade[[#This Row],[Rank]]) &amp; ""</f>
        <v>O-7</v>
      </c>
      <c r="H51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O-7</v>
      </c>
      <c r="I517" s="17" t="str">
        <f>SUBSTITUTE(SUBSTITUTE(SUBSTITUTE(StatusBranchGrade[[#This Row],[Status]] &amp; "  /  " &amp; StatusBranchGrade[[#This Row],[Branch]] &amp; ";", "  /  ;", ";"), "  /  ;", ";"), ";", "")</f>
        <v>Full-time Reserve  /  Marines</v>
      </c>
      <c r="J517">
        <v>12</v>
      </c>
      <c r="K517" s="17" t="str">
        <f>IF(LEFT(StatusBranchGrade[[#This Row],[Which]], 1) = "1", StatusBranchGrade[[#This Row],[Key]], "")</f>
        <v>Full-time Reserve  /  Marines  /  O-7</v>
      </c>
      <c r="L517" s="17" t="str">
        <f>IF(LEFT(StatusBranchGrade[[#This Row],[Which]], 1) = "1", StatusBranchGrade[[#This Row],[Key0]], "")</f>
        <v>Full-time Reserve  /  Marines</v>
      </c>
      <c r="M517" s="17" t="str">
        <f>IF(RIGHT(StatusBranchGrade[[#This Row],[Which]], 1) = "2", StatusBranchGrade[[#This Row],[Key]], "")</f>
        <v>Full-time Reserve  /  Marines  /  O-7</v>
      </c>
      <c r="N517" s="17" t="str">
        <f>IF(RIGHT(StatusBranchGrade[[#This Row],[Which]], 1) = "2", StatusBranchGrade[[#This Row],[Key0]], "")</f>
        <v>Full-time Reserve  /  Marines</v>
      </c>
      <c r="O517" s="17" t="s">
        <v>301</v>
      </c>
      <c r="P517" s="17"/>
      <c r="Q517" s="63">
        <f>--ISNUMBER(IF(StatusBranchGrade[[#This Row],[Sponsor0]] = 'Calculation Worksheet'!$AV$6 &amp; "  /  " &amp; 'Calculation Worksheet'!$AV$7, 1, ""))</f>
        <v>0</v>
      </c>
      <c r="R517" s="63" t="str">
        <f>IF(StatusBranchGrade[[#This Row],[S1]] = 1, COUNTIF($Q$3:Q517, 1), "")</f>
        <v/>
      </c>
      <c r="S517" s="63" t="str">
        <f>IFERROR(INDEX(StatusBranchGrade[Rank/Grade], MATCH(ROWS($R$3:R517)-1, StatusBranchGrade[S2], 0)), "") &amp; ""</f>
        <v/>
      </c>
      <c r="T517" s="63">
        <f>--ISNUMBER(IF(StatusBranchGrade[[#This Row],[Spouse0]] = 'Calculation Worksheet'!$CG$6 &amp; "  /  " &amp; 'Calculation Worksheet'!$CG$7, 1, ""))</f>
        <v>0</v>
      </c>
      <c r="U517" s="63" t="str">
        <f>IF(StatusBranchGrade[[#This Row],[T1]] = 1, COUNTIF($T$3:T517, 1), "")</f>
        <v/>
      </c>
      <c r="V517" s="63" t="str">
        <f>IFERROR(INDEX(StatusBranchGrade[Rank/Grade], MATCH(ROWS($U$3:U517)-1, StatusBranchGrade[T2], 0)), "") &amp; ""</f>
        <v/>
      </c>
      <c r="W517" s="63"/>
    </row>
    <row r="518" spans="1:23" x14ac:dyDescent="0.25">
      <c r="A518">
        <v>6</v>
      </c>
      <c r="B518" t="s">
        <v>218</v>
      </c>
      <c r="C518" t="s">
        <v>181</v>
      </c>
      <c r="D518" t="s">
        <v>84</v>
      </c>
      <c r="E518" t="str">
        <f>IF(StatusBranchGrade[[#This Row],[Status]] = "CYS", "DoD", StatusBranchGrade[[#This Row],[Rank]] &amp; "")</f>
        <v>O-8</v>
      </c>
      <c r="F518" t="s">
        <v>84</v>
      </c>
      <c r="G518" t="str">
        <f>IF(StatusBranchGrade[[#This Row],[Rank]] = StatusBranchGrade[[#This Row],[Grade]], StatusBranchGrade[[#This Row],[Rank]], StatusBranchGrade[[#This Row],[Grade]] &amp; "/" &amp; StatusBranchGrade[[#This Row],[Rank]]) &amp; ""</f>
        <v>O-8</v>
      </c>
      <c r="H51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O-8</v>
      </c>
      <c r="I518" s="17" t="str">
        <f>SUBSTITUTE(SUBSTITUTE(SUBSTITUTE(StatusBranchGrade[[#This Row],[Status]] &amp; "  /  " &amp; StatusBranchGrade[[#This Row],[Branch]] &amp; ";", "  /  ;", ";"), "  /  ;", ";"), ";", "")</f>
        <v>Full-time Reserve  /  Marines</v>
      </c>
      <c r="J518">
        <v>12</v>
      </c>
      <c r="K518" s="17" t="str">
        <f>IF(LEFT(StatusBranchGrade[[#This Row],[Which]], 1) = "1", StatusBranchGrade[[#This Row],[Key]], "")</f>
        <v>Full-time Reserve  /  Marines  /  O-8</v>
      </c>
      <c r="L518" s="17" t="str">
        <f>IF(LEFT(StatusBranchGrade[[#This Row],[Which]], 1) = "1", StatusBranchGrade[[#This Row],[Key0]], "")</f>
        <v>Full-time Reserve  /  Marines</v>
      </c>
      <c r="M518" s="17" t="str">
        <f>IF(RIGHT(StatusBranchGrade[[#This Row],[Which]], 1) = "2", StatusBranchGrade[[#This Row],[Key]], "")</f>
        <v>Full-time Reserve  /  Marines  /  O-8</v>
      </c>
      <c r="N518" s="17" t="str">
        <f>IF(RIGHT(StatusBranchGrade[[#This Row],[Which]], 1) = "2", StatusBranchGrade[[#This Row],[Key0]], "")</f>
        <v>Full-time Reserve  /  Marines</v>
      </c>
      <c r="O518" s="17" t="s">
        <v>301</v>
      </c>
      <c r="P518" s="17"/>
      <c r="Q518" s="63">
        <f>--ISNUMBER(IF(StatusBranchGrade[[#This Row],[Sponsor0]] = 'Calculation Worksheet'!$AV$6 &amp; "  /  " &amp; 'Calculation Worksheet'!$AV$7, 1, ""))</f>
        <v>0</v>
      </c>
      <c r="R518" s="63" t="str">
        <f>IF(StatusBranchGrade[[#This Row],[S1]] = 1, COUNTIF($Q$3:Q518, 1), "")</f>
        <v/>
      </c>
      <c r="S518" s="63" t="str">
        <f>IFERROR(INDEX(StatusBranchGrade[Rank/Grade], MATCH(ROWS($R$3:R518)-1, StatusBranchGrade[S2], 0)), "") &amp; ""</f>
        <v/>
      </c>
      <c r="T518" s="63">
        <f>--ISNUMBER(IF(StatusBranchGrade[[#This Row],[Spouse0]] = 'Calculation Worksheet'!$CG$6 &amp; "  /  " &amp; 'Calculation Worksheet'!$CG$7, 1, ""))</f>
        <v>0</v>
      </c>
      <c r="U518" s="63" t="str">
        <f>IF(StatusBranchGrade[[#This Row],[T1]] = 1, COUNTIF($T$3:T518, 1), "")</f>
        <v/>
      </c>
      <c r="V518" s="63" t="str">
        <f>IFERROR(INDEX(StatusBranchGrade[Rank/Grade], MATCH(ROWS($U$3:U518)-1, StatusBranchGrade[T2], 0)), "") &amp; ""</f>
        <v/>
      </c>
      <c r="W518" s="63"/>
    </row>
    <row r="519" spans="1:23" x14ac:dyDescent="0.25">
      <c r="A519">
        <v>6</v>
      </c>
      <c r="B519" t="s">
        <v>218</v>
      </c>
      <c r="C519" t="s">
        <v>181</v>
      </c>
      <c r="D519" t="s">
        <v>83</v>
      </c>
      <c r="E519" t="str">
        <f>IF(StatusBranchGrade[[#This Row],[Status]] = "CYS", "DoD", StatusBranchGrade[[#This Row],[Rank]] &amp; "")</f>
        <v>O-9</v>
      </c>
      <c r="F519" t="s">
        <v>83</v>
      </c>
      <c r="G519" t="str">
        <f>IF(StatusBranchGrade[[#This Row],[Rank]] = StatusBranchGrade[[#This Row],[Grade]], StatusBranchGrade[[#This Row],[Rank]], StatusBranchGrade[[#This Row],[Grade]] &amp; "/" &amp; StatusBranchGrade[[#This Row],[Rank]]) &amp; ""</f>
        <v>O-9</v>
      </c>
      <c r="H51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O-9</v>
      </c>
      <c r="I519" s="17" t="str">
        <f>SUBSTITUTE(SUBSTITUTE(SUBSTITUTE(StatusBranchGrade[[#This Row],[Status]] &amp; "  /  " &amp; StatusBranchGrade[[#This Row],[Branch]] &amp; ";", "  /  ;", ";"), "  /  ;", ";"), ";", "")</f>
        <v>Full-time Reserve  /  Marines</v>
      </c>
      <c r="J519">
        <v>12</v>
      </c>
      <c r="K519" s="17" t="str">
        <f>IF(LEFT(StatusBranchGrade[[#This Row],[Which]], 1) = "1", StatusBranchGrade[[#This Row],[Key]], "")</f>
        <v>Full-time Reserve  /  Marines  /  O-9</v>
      </c>
      <c r="L519" s="17" t="str">
        <f>IF(LEFT(StatusBranchGrade[[#This Row],[Which]], 1) = "1", StatusBranchGrade[[#This Row],[Key0]], "")</f>
        <v>Full-time Reserve  /  Marines</v>
      </c>
      <c r="M519" s="17" t="str">
        <f>IF(RIGHT(StatusBranchGrade[[#This Row],[Which]], 1) = "2", StatusBranchGrade[[#This Row],[Key]], "")</f>
        <v>Full-time Reserve  /  Marines  /  O-9</v>
      </c>
      <c r="N519" s="17" t="str">
        <f>IF(RIGHT(StatusBranchGrade[[#This Row],[Which]], 1) = "2", StatusBranchGrade[[#This Row],[Key0]], "")</f>
        <v>Full-time Reserve  /  Marines</v>
      </c>
      <c r="O519" s="17" t="s">
        <v>301</v>
      </c>
      <c r="P519" s="17"/>
      <c r="Q519" s="63">
        <f>--ISNUMBER(IF(StatusBranchGrade[[#This Row],[Sponsor0]] = 'Calculation Worksheet'!$AV$6 &amp; "  /  " &amp; 'Calculation Worksheet'!$AV$7, 1, ""))</f>
        <v>0</v>
      </c>
      <c r="R519" s="63" t="str">
        <f>IF(StatusBranchGrade[[#This Row],[S1]] = 1, COUNTIF($Q$3:Q519, 1), "")</f>
        <v/>
      </c>
      <c r="S519" s="63" t="str">
        <f>IFERROR(INDEX(StatusBranchGrade[Rank/Grade], MATCH(ROWS($R$3:R519)-1, StatusBranchGrade[S2], 0)), "") &amp; ""</f>
        <v/>
      </c>
      <c r="T519" s="63">
        <f>--ISNUMBER(IF(StatusBranchGrade[[#This Row],[Spouse0]] = 'Calculation Worksheet'!$CG$6 &amp; "  /  " &amp; 'Calculation Worksheet'!$CG$7, 1, ""))</f>
        <v>0</v>
      </c>
      <c r="U519" s="63" t="str">
        <f>IF(StatusBranchGrade[[#This Row],[T1]] = 1, COUNTIF($T$3:T519, 1), "")</f>
        <v/>
      </c>
      <c r="V519" s="63" t="str">
        <f>IFERROR(INDEX(StatusBranchGrade[Rank/Grade], MATCH(ROWS($U$3:U519)-1, StatusBranchGrade[T2], 0)), "") &amp; ""</f>
        <v/>
      </c>
      <c r="W519" s="63"/>
    </row>
    <row r="520" spans="1:23" x14ac:dyDescent="0.25">
      <c r="A520">
        <v>6</v>
      </c>
      <c r="B520" t="s">
        <v>218</v>
      </c>
      <c r="C520" t="s">
        <v>181</v>
      </c>
      <c r="D520" t="s">
        <v>95</v>
      </c>
      <c r="E520" t="str">
        <f>IF(StatusBranchGrade[[#This Row],[Status]] = "CYS", "DoD", StatusBranchGrade[[#This Row],[Rank]] &amp; "")</f>
        <v>W-2</v>
      </c>
      <c r="F520" t="s">
        <v>95</v>
      </c>
      <c r="G520" t="str">
        <f>IF(StatusBranchGrade[[#This Row],[Rank]] = StatusBranchGrade[[#This Row],[Grade]], StatusBranchGrade[[#This Row],[Rank]], StatusBranchGrade[[#This Row],[Grade]] &amp; "/" &amp; StatusBranchGrade[[#This Row],[Rank]]) &amp; ""</f>
        <v>W-2</v>
      </c>
      <c r="H52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W-2</v>
      </c>
      <c r="I520" s="17" t="str">
        <f>SUBSTITUTE(SUBSTITUTE(SUBSTITUTE(StatusBranchGrade[[#This Row],[Status]] &amp; "  /  " &amp; StatusBranchGrade[[#This Row],[Branch]] &amp; ";", "  /  ;", ";"), "  /  ;", ";"), ";", "")</f>
        <v>Full-time Reserve  /  Marines</v>
      </c>
      <c r="J520">
        <v>12</v>
      </c>
      <c r="K520" s="17" t="str">
        <f>IF(LEFT(StatusBranchGrade[[#This Row],[Which]], 1) = "1", StatusBranchGrade[[#This Row],[Key]], "")</f>
        <v>Full-time Reserve  /  Marines  /  W-2</v>
      </c>
      <c r="L520" s="17" t="str">
        <f>IF(LEFT(StatusBranchGrade[[#This Row],[Which]], 1) = "1", StatusBranchGrade[[#This Row],[Key0]], "")</f>
        <v>Full-time Reserve  /  Marines</v>
      </c>
      <c r="M520" s="17" t="str">
        <f>IF(RIGHT(StatusBranchGrade[[#This Row],[Which]], 1) = "2", StatusBranchGrade[[#This Row],[Key]], "")</f>
        <v>Full-time Reserve  /  Marines  /  W-2</v>
      </c>
      <c r="N520" s="17" t="str">
        <f>IF(RIGHT(StatusBranchGrade[[#This Row],[Which]], 1) = "2", StatusBranchGrade[[#This Row],[Key0]], "")</f>
        <v>Full-time Reserve  /  Marines</v>
      </c>
      <c r="O520" s="17" t="s">
        <v>301</v>
      </c>
      <c r="P520" s="17"/>
      <c r="Q520" s="63">
        <f>--ISNUMBER(IF(StatusBranchGrade[[#This Row],[Sponsor0]] = 'Calculation Worksheet'!$AV$6 &amp; "  /  " &amp; 'Calculation Worksheet'!$AV$7, 1, ""))</f>
        <v>0</v>
      </c>
      <c r="R520" s="63" t="str">
        <f>IF(StatusBranchGrade[[#This Row],[S1]] = 1, COUNTIF($Q$3:Q520, 1), "")</f>
        <v/>
      </c>
      <c r="S520" s="63" t="str">
        <f>IFERROR(INDEX(StatusBranchGrade[Rank/Grade], MATCH(ROWS($R$3:R520)-1, StatusBranchGrade[S2], 0)), "") &amp; ""</f>
        <v/>
      </c>
      <c r="T520" s="63">
        <f>--ISNUMBER(IF(StatusBranchGrade[[#This Row],[Spouse0]] = 'Calculation Worksheet'!$CG$6 &amp; "  /  " &amp; 'Calculation Worksheet'!$CG$7, 1, ""))</f>
        <v>0</v>
      </c>
      <c r="U520" s="63" t="str">
        <f>IF(StatusBranchGrade[[#This Row],[T1]] = 1, COUNTIF($T$3:T520, 1), "")</f>
        <v/>
      </c>
      <c r="V520" s="63" t="str">
        <f>IFERROR(INDEX(StatusBranchGrade[Rank/Grade], MATCH(ROWS($U$3:U520)-1, StatusBranchGrade[T2], 0)), "") &amp; ""</f>
        <v/>
      </c>
      <c r="W520" s="63"/>
    </row>
    <row r="521" spans="1:23" x14ac:dyDescent="0.25">
      <c r="A521">
        <v>6</v>
      </c>
      <c r="B521" t="s">
        <v>218</v>
      </c>
      <c r="C521" t="s">
        <v>181</v>
      </c>
      <c r="D521" t="s">
        <v>94</v>
      </c>
      <c r="E521" t="str">
        <f>IF(StatusBranchGrade[[#This Row],[Status]] = "CYS", "DoD", StatusBranchGrade[[#This Row],[Rank]] &amp; "")</f>
        <v>W-3</v>
      </c>
      <c r="F521" t="s">
        <v>94</v>
      </c>
      <c r="G521" t="str">
        <f>IF(StatusBranchGrade[[#This Row],[Rank]] = StatusBranchGrade[[#This Row],[Grade]], StatusBranchGrade[[#This Row],[Rank]], StatusBranchGrade[[#This Row],[Grade]] &amp; "/" &amp; StatusBranchGrade[[#This Row],[Rank]]) &amp; ""</f>
        <v>W-3</v>
      </c>
      <c r="H52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W-3</v>
      </c>
      <c r="I521" s="17" t="str">
        <f>SUBSTITUTE(SUBSTITUTE(SUBSTITUTE(StatusBranchGrade[[#This Row],[Status]] &amp; "  /  " &amp; StatusBranchGrade[[#This Row],[Branch]] &amp; ";", "  /  ;", ";"), "  /  ;", ";"), ";", "")</f>
        <v>Full-time Reserve  /  Marines</v>
      </c>
      <c r="J521">
        <v>12</v>
      </c>
      <c r="K521" s="17" t="str">
        <f>IF(LEFT(StatusBranchGrade[[#This Row],[Which]], 1) = "1", StatusBranchGrade[[#This Row],[Key]], "")</f>
        <v>Full-time Reserve  /  Marines  /  W-3</v>
      </c>
      <c r="L521" s="17" t="str">
        <f>IF(LEFT(StatusBranchGrade[[#This Row],[Which]], 1) = "1", StatusBranchGrade[[#This Row],[Key0]], "")</f>
        <v>Full-time Reserve  /  Marines</v>
      </c>
      <c r="M521" s="17" t="str">
        <f>IF(RIGHT(StatusBranchGrade[[#This Row],[Which]], 1) = "2", StatusBranchGrade[[#This Row],[Key]], "")</f>
        <v>Full-time Reserve  /  Marines  /  W-3</v>
      </c>
      <c r="N521" s="17" t="str">
        <f>IF(RIGHT(StatusBranchGrade[[#This Row],[Which]], 1) = "2", StatusBranchGrade[[#This Row],[Key0]], "")</f>
        <v>Full-time Reserve  /  Marines</v>
      </c>
      <c r="O521" s="17" t="s">
        <v>301</v>
      </c>
      <c r="P521" s="17"/>
      <c r="Q521" s="63">
        <f>--ISNUMBER(IF(StatusBranchGrade[[#This Row],[Sponsor0]] = 'Calculation Worksheet'!$AV$6 &amp; "  /  " &amp; 'Calculation Worksheet'!$AV$7, 1, ""))</f>
        <v>0</v>
      </c>
      <c r="R521" s="63" t="str">
        <f>IF(StatusBranchGrade[[#This Row],[S1]] = 1, COUNTIF($Q$3:Q521, 1), "")</f>
        <v/>
      </c>
      <c r="S521" s="63" t="str">
        <f>IFERROR(INDEX(StatusBranchGrade[Rank/Grade], MATCH(ROWS($R$3:R521)-1, StatusBranchGrade[S2], 0)), "") &amp; ""</f>
        <v/>
      </c>
      <c r="T521" s="63">
        <f>--ISNUMBER(IF(StatusBranchGrade[[#This Row],[Spouse0]] = 'Calculation Worksheet'!$CG$6 &amp; "  /  " &amp; 'Calculation Worksheet'!$CG$7, 1, ""))</f>
        <v>0</v>
      </c>
      <c r="U521" s="63" t="str">
        <f>IF(StatusBranchGrade[[#This Row],[T1]] = 1, COUNTIF($T$3:T521, 1), "")</f>
        <v/>
      </c>
      <c r="V521" s="63" t="str">
        <f>IFERROR(INDEX(StatusBranchGrade[Rank/Grade], MATCH(ROWS($U$3:U521)-1, StatusBranchGrade[T2], 0)), "") &amp; ""</f>
        <v/>
      </c>
      <c r="W521" s="63"/>
    </row>
    <row r="522" spans="1:23" x14ac:dyDescent="0.25">
      <c r="A522">
        <v>6</v>
      </c>
      <c r="B522" t="s">
        <v>218</v>
      </c>
      <c r="C522" t="s">
        <v>181</v>
      </c>
      <c r="D522" t="s">
        <v>93</v>
      </c>
      <c r="E522" t="str">
        <f>IF(StatusBranchGrade[[#This Row],[Status]] = "CYS", "DoD", StatusBranchGrade[[#This Row],[Rank]] &amp; "")</f>
        <v>W-4</v>
      </c>
      <c r="F522" t="s">
        <v>93</v>
      </c>
      <c r="G522" t="str">
        <f>IF(StatusBranchGrade[[#This Row],[Rank]] = StatusBranchGrade[[#This Row],[Grade]], StatusBranchGrade[[#This Row],[Rank]], StatusBranchGrade[[#This Row],[Grade]] &amp; "/" &amp; StatusBranchGrade[[#This Row],[Rank]]) &amp; ""</f>
        <v>W-4</v>
      </c>
      <c r="H52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W-4</v>
      </c>
      <c r="I522" s="17" t="str">
        <f>SUBSTITUTE(SUBSTITUTE(SUBSTITUTE(StatusBranchGrade[[#This Row],[Status]] &amp; "  /  " &amp; StatusBranchGrade[[#This Row],[Branch]] &amp; ";", "  /  ;", ";"), "  /  ;", ";"), ";", "")</f>
        <v>Full-time Reserve  /  Marines</v>
      </c>
      <c r="J522">
        <v>12</v>
      </c>
      <c r="K522" s="17" t="str">
        <f>IF(LEFT(StatusBranchGrade[[#This Row],[Which]], 1) = "1", StatusBranchGrade[[#This Row],[Key]], "")</f>
        <v>Full-time Reserve  /  Marines  /  W-4</v>
      </c>
      <c r="L522" s="17" t="str">
        <f>IF(LEFT(StatusBranchGrade[[#This Row],[Which]], 1) = "1", StatusBranchGrade[[#This Row],[Key0]], "")</f>
        <v>Full-time Reserve  /  Marines</v>
      </c>
      <c r="M522" s="17" t="str">
        <f>IF(RIGHT(StatusBranchGrade[[#This Row],[Which]], 1) = "2", StatusBranchGrade[[#This Row],[Key]], "")</f>
        <v>Full-time Reserve  /  Marines  /  W-4</v>
      </c>
      <c r="N522" s="17" t="str">
        <f>IF(RIGHT(StatusBranchGrade[[#This Row],[Which]], 1) = "2", StatusBranchGrade[[#This Row],[Key0]], "")</f>
        <v>Full-time Reserve  /  Marines</v>
      </c>
      <c r="O522" s="17" t="s">
        <v>301</v>
      </c>
      <c r="P522" s="17"/>
      <c r="Q522" s="63">
        <f>--ISNUMBER(IF(StatusBranchGrade[[#This Row],[Sponsor0]] = 'Calculation Worksheet'!$AV$6 &amp; "  /  " &amp; 'Calculation Worksheet'!$AV$7, 1, ""))</f>
        <v>0</v>
      </c>
      <c r="R522" s="63" t="str">
        <f>IF(StatusBranchGrade[[#This Row],[S1]] = 1, COUNTIF($Q$3:Q522, 1), "")</f>
        <v/>
      </c>
      <c r="S522" s="63" t="str">
        <f>IFERROR(INDEX(StatusBranchGrade[Rank/Grade], MATCH(ROWS($R$3:R522)-1, StatusBranchGrade[S2], 0)), "") &amp; ""</f>
        <v/>
      </c>
      <c r="T522" s="63">
        <f>--ISNUMBER(IF(StatusBranchGrade[[#This Row],[Spouse0]] = 'Calculation Worksheet'!$CG$6 &amp; "  /  " &amp; 'Calculation Worksheet'!$CG$7, 1, ""))</f>
        <v>0</v>
      </c>
      <c r="U522" s="63" t="str">
        <f>IF(StatusBranchGrade[[#This Row],[T1]] = 1, COUNTIF($T$3:T522, 1), "")</f>
        <v/>
      </c>
      <c r="V522" s="63" t="str">
        <f>IFERROR(INDEX(StatusBranchGrade[Rank/Grade], MATCH(ROWS($U$3:U522)-1, StatusBranchGrade[T2], 0)), "") &amp; ""</f>
        <v/>
      </c>
      <c r="W522" s="63"/>
    </row>
    <row r="523" spans="1:23" x14ac:dyDescent="0.25">
      <c r="A523">
        <v>6</v>
      </c>
      <c r="B523" t="s">
        <v>218</v>
      </c>
      <c r="C523" t="s">
        <v>181</v>
      </c>
      <c r="D523" t="s">
        <v>96</v>
      </c>
      <c r="E523" t="str">
        <f>IF(StatusBranchGrade[[#This Row],[Status]] = "CYS", "DoD", StatusBranchGrade[[#This Row],[Rank]] &amp; "")</f>
        <v>W-1</v>
      </c>
      <c r="F523" t="s">
        <v>179</v>
      </c>
      <c r="G523" t="str">
        <f>IF(StatusBranchGrade[[#This Row],[Rank]] = StatusBranchGrade[[#This Row],[Grade]], StatusBranchGrade[[#This Row],[Rank]], StatusBranchGrade[[#This Row],[Grade]] &amp; "/" &amp; StatusBranchGrade[[#This Row],[Rank]]) &amp; ""</f>
        <v>WO1/W-1</v>
      </c>
      <c r="H52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Marines  /  WO1/W-1</v>
      </c>
      <c r="I523" s="17" t="str">
        <f>SUBSTITUTE(SUBSTITUTE(SUBSTITUTE(StatusBranchGrade[[#This Row],[Status]] &amp; "  /  " &amp; StatusBranchGrade[[#This Row],[Branch]] &amp; ";", "  /  ;", ";"), "  /  ;", ";"), ";", "")</f>
        <v>Full-time Reserve  /  Marines</v>
      </c>
      <c r="J523">
        <v>12</v>
      </c>
      <c r="K523" s="17" t="str">
        <f>IF(LEFT(StatusBranchGrade[[#This Row],[Which]], 1) = "1", StatusBranchGrade[[#This Row],[Key]], "")</f>
        <v>Full-time Reserve  /  Marines  /  WO1/W-1</v>
      </c>
      <c r="L523" s="17" t="str">
        <f>IF(LEFT(StatusBranchGrade[[#This Row],[Which]], 1) = "1", StatusBranchGrade[[#This Row],[Key0]], "")</f>
        <v>Full-time Reserve  /  Marines</v>
      </c>
      <c r="M523" s="17" t="str">
        <f>IF(RIGHT(StatusBranchGrade[[#This Row],[Which]], 1) = "2", StatusBranchGrade[[#This Row],[Key]], "")</f>
        <v>Full-time Reserve  /  Marines  /  WO1/W-1</v>
      </c>
      <c r="N523" s="17" t="str">
        <f>IF(RIGHT(StatusBranchGrade[[#This Row],[Which]], 1) = "2", StatusBranchGrade[[#This Row],[Key0]], "")</f>
        <v>Full-time Reserve  /  Marines</v>
      </c>
      <c r="O523" s="17" t="s">
        <v>301</v>
      </c>
      <c r="P523" s="17"/>
      <c r="Q523" s="63">
        <f>--ISNUMBER(IF(StatusBranchGrade[[#This Row],[Sponsor0]] = 'Calculation Worksheet'!$AV$6 &amp; "  /  " &amp; 'Calculation Worksheet'!$AV$7, 1, ""))</f>
        <v>0</v>
      </c>
      <c r="R523" s="63" t="str">
        <f>IF(StatusBranchGrade[[#This Row],[S1]] = 1, COUNTIF($Q$3:Q523, 1), "")</f>
        <v/>
      </c>
      <c r="S523" s="63" t="str">
        <f>IFERROR(INDEX(StatusBranchGrade[Rank/Grade], MATCH(ROWS($R$3:R523)-1, StatusBranchGrade[S2], 0)), "") &amp; ""</f>
        <v/>
      </c>
      <c r="T523" s="63">
        <f>--ISNUMBER(IF(StatusBranchGrade[[#This Row],[Spouse0]] = 'Calculation Worksheet'!$CG$6 &amp; "  /  " &amp; 'Calculation Worksheet'!$CG$7, 1, ""))</f>
        <v>0</v>
      </c>
      <c r="U523" s="63" t="str">
        <f>IF(StatusBranchGrade[[#This Row],[T1]] = 1, COUNTIF($T$3:T523, 1), "")</f>
        <v/>
      </c>
      <c r="V523" s="63" t="str">
        <f>IFERROR(INDEX(StatusBranchGrade[Rank/Grade], MATCH(ROWS($U$3:U523)-1, StatusBranchGrade[T2], 0)), "") &amp; ""</f>
        <v/>
      </c>
      <c r="W523" s="63"/>
    </row>
    <row r="524" spans="1:23" x14ac:dyDescent="0.25">
      <c r="A524">
        <v>6</v>
      </c>
      <c r="B524" t="s">
        <v>218</v>
      </c>
      <c r="C524" t="s">
        <v>182</v>
      </c>
      <c r="D524" t="s">
        <v>105</v>
      </c>
      <c r="E524" t="str">
        <f>IF(StatusBranchGrade[[#This Row],[Status]] = "CYS", "DoD", StatusBranchGrade[[#This Row],[Rank]] &amp; "")</f>
        <v>E-1</v>
      </c>
      <c r="F524" t="s">
        <v>105</v>
      </c>
      <c r="G524" t="str">
        <f>IF(StatusBranchGrade[[#This Row],[Rank]] = StatusBranchGrade[[#This Row],[Grade]], StatusBranchGrade[[#This Row],[Rank]], StatusBranchGrade[[#This Row],[Grade]] &amp; "/" &amp; StatusBranchGrade[[#This Row],[Rank]]) &amp; ""</f>
        <v>E-1</v>
      </c>
      <c r="H52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E-1</v>
      </c>
      <c r="I524" s="17" t="str">
        <f>SUBSTITUTE(SUBSTITUTE(SUBSTITUTE(StatusBranchGrade[[#This Row],[Status]] &amp; "  /  " &amp; StatusBranchGrade[[#This Row],[Branch]] &amp; ";", "  /  ;", ";"), "  /  ;", ";"), ";", "")</f>
        <v>Full-time Reserve  /  Navy</v>
      </c>
      <c r="J524">
        <v>12</v>
      </c>
      <c r="K524" s="17" t="str">
        <f>IF(LEFT(StatusBranchGrade[[#This Row],[Which]], 1) = "1", StatusBranchGrade[[#This Row],[Key]], "")</f>
        <v>Full-time Reserve  /  Navy  /  E-1</v>
      </c>
      <c r="L524" s="17" t="str">
        <f>IF(LEFT(StatusBranchGrade[[#This Row],[Which]], 1) = "1", StatusBranchGrade[[#This Row],[Key0]], "")</f>
        <v>Full-time Reserve  /  Navy</v>
      </c>
      <c r="M524" s="17" t="str">
        <f>IF(RIGHT(StatusBranchGrade[[#This Row],[Which]], 1) = "2", StatusBranchGrade[[#This Row],[Key]], "")</f>
        <v>Full-time Reserve  /  Navy  /  E-1</v>
      </c>
      <c r="N524" s="17" t="str">
        <f>IF(RIGHT(StatusBranchGrade[[#This Row],[Which]], 1) = "2", StatusBranchGrade[[#This Row],[Key0]], "")</f>
        <v>Full-time Reserve  /  Navy</v>
      </c>
      <c r="O524" s="17" t="s">
        <v>301</v>
      </c>
      <c r="P524" s="17"/>
      <c r="Q524" s="63">
        <f>--ISNUMBER(IF(StatusBranchGrade[[#This Row],[Sponsor0]] = 'Calculation Worksheet'!$AV$6 &amp; "  /  " &amp; 'Calculation Worksheet'!$AV$7, 1, ""))</f>
        <v>0</v>
      </c>
      <c r="R524" s="63" t="str">
        <f>IF(StatusBranchGrade[[#This Row],[S1]] = 1, COUNTIF($Q$3:Q524, 1), "")</f>
        <v/>
      </c>
      <c r="S524" s="63" t="str">
        <f>IFERROR(INDEX(StatusBranchGrade[Rank/Grade], MATCH(ROWS($R$3:R524)-1, StatusBranchGrade[S2], 0)), "") &amp; ""</f>
        <v/>
      </c>
      <c r="T524" s="63">
        <f>--ISNUMBER(IF(StatusBranchGrade[[#This Row],[Spouse0]] = 'Calculation Worksheet'!$CG$6 &amp; "  /  " &amp; 'Calculation Worksheet'!$CG$7, 1, ""))</f>
        <v>0</v>
      </c>
      <c r="U524" s="63" t="str">
        <f>IF(StatusBranchGrade[[#This Row],[T1]] = 1, COUNTIF($T$3:T524, 1), "")</f>
        <v/>
      </c>
      <c r="V524" s="63" t="str">
        <f>IFERROR(INDEX(StatusBranchGrade[Rank/Grade], MATCH(ROWS($U$3:U524)-1, StatusBranchGrade[T2], 0)), "") &amp; ""</f>
        <v/>
      </c>
      <c r="W524" s="63"/>
    </row>
    <row r="525" spans="1:23" x14ac:dyDescent="0.25">
      <c r="A525">
        <v>6</v>
      </c>
      <c r="B525" t="s">
        <v>218</v>
      </c>
      <c r="C525" t="s">
        <v>182</v>
      </c>
      <c r="D525" t="s">
        <v>104</v>
      </c>
      <c r="E525" t="str">
        <f>IF(StatusBranchGrade[[#This Row],[Status]] = "CYS", "DoD", StatusBranchGrade[[#This Row],[Rank]] &amp; "")</f>
        <v>E-2</v>
      </c>
      <c r="F525" t="s">
        <v>104</v>
      </c>
      <c r="G525" t="str">
        <f>IF(StatusBranchGrade[[#This Row],[Rank]] = StatusBranchGrade[[#This Row],[Grade]], StatusBranchGrade[[#This Row],[Rank]], StatusBranchGrade[[#This Row],[Grade]] &amp; "/" &amp; StatusBranchGrade[[#This Row],[Rank]]) &amp; ""</f>
        <v>E-2</v>
      </c>
      <c r="H52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E-2</v>
      </c>
      <c r="I525" s="17" t="str">
        <f>SUBSTITUTE(SUBSTITUTE(SUBSTITUTE(StatusBranchGrade[[#This Row],[Status]] &amp; "  /  " &amp; StatusBranchGrade[[#This Row],[Branch]] &amp; ";", "  /  ;", ";"), "  /  ;", ";"), ";", "")</f>
        <v>Full-time Reserve  /  Navy</v>
      </c>
      <c r="J525">
        <v>12</v>
      </c>
      <c r="K525" s="17" t="str">
        <f>IF(LEFT(StatusBranchGrade[[#This Row],[Which]], 1) = "1", StatusBranchGrade[[#This Row],[Key]], "")</f>
        <v>Full-time Reserve  /  Navy  /  E-2</v>
      </c>
      <c r="L525" s="17" t="str">
        <f>IF(LEFT(StatusBranchGrade[[#This Row],[Which]], 1) = "1", StatusBranchGrade[[#This Row],[Key0]], "")</f>
        <v>Full-time Reserve  /  Navy</v>
      </c>
      <c r="M525" s="17" t="str">
        <f>IF(RIGHT(StatusBranchGrade[[#This Row],[Which]], 1) = "2", StatusBranchGrade[[#This Row],[Key]], "")</f>
        <v>Full-time Reserve  /  Navy  /  E-2</v>
      </c>
      <c r="N525" s="17" t="str">
        <f>IF(RIGHT(StatusBranchGrade[[#This Row],[Which]], 1) = "2", StatusBranchGrade[[#This Row],[Key0]], "")</f>
        <v>Full-time Reserve  /  Navy</v>
      </c>
      <c r="O525" s="17" t="s">
        <v>301</v>
      </c>
      <c r="P525" s="17"/>
      <c r="Q525" s="63">
        <f>--ISNUMBER(IF(StatusBranchGrade[[#This Row],[Sponsor0]] = 'Calculation Worksheet'!$AV$6 &amp; "  /  " &amp; 'Calculation Worksheet'!$AV$7, 1, ""))</f>
        <v>0</v>
      </c>
      <c r="R525" s="63" t="str">
        <f>IF(StatusBranchGrade[[#This Row],[S1]] = 1, COUNTIF($Q$3:Q525, 1), "")</f>
        <v/>
      </c>
      <c r="S525" s="63" t="str">
        <f>IFERROR(INDEX(StatusBranchGrade[Rank/Grade], MATCH(ROWS($R$3:R525)-1, StatusBranchGrade[S2], 0)), "") &amp; ""</f>
        <v/>
      </c>
      <c r="T525" s="63">
        <f>--ISNUMBER(IF(StatusBranchGrade[[#This Row],[Spouse0]] = 'Calculation Worksheet'!$CG$6 &amp; "  /  " &amp; 'Calculation Worksheet'!$CG$7, 1, ""))</f>
        <v>0</v>
      </c>
      <c r="U525" s="63" t="str">
        <f>IF(StatusBranchGrade[[#This Row],[T1]] = 1, COUNTIF($T$3:T525, 1), "")</f>
        <v/>
      </c>
      <c r="V525" s="63" t="str">
        <f>IFERROR(INDEX(StatusBranchGrade[Rank/Grade], MATCH(ROWS($U$3:U525)-1, StatusBranchGrade[T2], 0)), "") &amp; ""</f>
        <v/>
      </c>
      <c r="W525" s="63"/>
    </row>
    <row r="526" spans="1:23" x14ac:dyDescent="0.25">
      <c r="A526">
        <v>6</v>
      </c>
      <c r="B526" t="s">
        <v>218</v>
      </c>
      <c r="C526" t="s">
        <v>182</v>
      </c>
      <c r="D526" t="s">
        <v>103</v>
      </c>
      <c r="E526" t="str">
        <f>IF(StatusBranchGrade[[#This Row],[Status]] = "CYS", "DoD", StatusBranchGrade[[#This Row],[Rank]] &amp; "")</f>
        <v>E-3</v>
      </c>
      <c r="F526" t="s">
        <v>103</v>
      </c>
      <c r="G526" t="str">
        <f>IF(StatusBranchGrade[[#This Row],[Rank]] = StatusBranchGrade[[#This Row],[Grade]], StatusBranchGrade[[#This Row],[Rank]], StatusBranchGrade[[#This Row],[Grade]] &amp; "/" &amp; StatusBranchGrade[[#This Row],[Rank]]) &amp; ""</f>
        <v>E-3</v>
      </c>
      <c r="H52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E-3</v>
      </c>
      <c r="I526" s="17" t="str">
        <f>SUBSTITUTE(SUBSTITUTE(SUBSTITUTE(StatusBranchGrade[[#This Row],[Status]] &amp; "  /  " &amp; StatusBranchGrade[[#This Row],[Branch]] &amp; ";", "  /  ;", ";"), "  /  ;", ";"), ";", "")</f>
        <v>Full-time Reserve  /  Navy</v>
      </c>
      <c r="J526">
        <v>12</v>
      </c>
      <c r="K526" s="17" t="str">
        <f>IF(LEFT(StatusBranchGrade[[#This Row],[Which]], 1) = "1", StatusBranchGrade[[#This Row],[Key]], "")</f>
        <v>Full-time Reserve  /  Navy  /  E-3</v>
      </c>
      <c r="L526" s="17" t="str">
        <f>IF(LEFT(StatusBranchGrade[[#This Row],[Which]], 1) = "1", StatusBranchGrade[[#This Row],[Key0]], "")</f>
        <v>Full-time Reserve  /  Navy</v>
      </c>
      <c r="M526" s="17" t="str">
        <f>IF(RIGHT(StatusBranchGrade[[#This Row],[Which]], 1) = "2", StatusBranchGrade[[#This Row],[Key]], "")</f>
        <v>Full-time Reserve  /  Navy  /  E-3</v>
      </c>
      <c r="N526" s="17" t="str">
        <f>IF(RIGHT(StatusBranchGrade[[#This Row],[Which]], 1) = "2", StatusBranchGrade[[#This Row],[Key0]], "")</f>
        <v>Full-time Reserve  /  Navy</v>
      </c>
      <c r="O526" s="17" t="s">
        <v>301</v>
      </c>
      <c r="P526" s="17"/>
      <c r="Q526" s="63">
        <f>--ISNUMBER(IF(StatusBranchGrade[[#This Row],[Sponsor0]] = 'Calculation Worksheet'!$AV$6 &amp; "  /  " &amp; 'Calculation Worksheet'!$AV$7, 1, ""))</f>
        <v>0</v>
      </c>
      <c r="R526" s="63" t="str">
        <f>IF(StatusBranchGrade[[#This Row],[S1]] = 1, COUNTIF($Q$3:Q526, 1), "")</f>
        <v/>
      </c>
      <c r="S526" s="63" t="str">
        <f>IFERROR(INDEX(StatusBranchGrade[Rank/Grade], MATCH(ROWS($R$3:R526)-1, StatusBranchGrade[S2], 0)), "") &amp; ""</f>
        <v/>
      </c>
      <c r="T526" s="63">
        <f>--ISNUMBER(IF(StatusBranchGrade[[#This Row],[Spouse0]] = 'Calculation Worksheet'!$CG$6 &amp; "  /  " &amp; 'Calculation Worksheet'!$CG$7, 1, ""))</f>
        <v>0</v>
      </c>
      <c r="U526" s="63" t="str">
        <f>IF(StatusBranchGrade[[#This Row],[T1]] = 1, COUNTIF($T$3:T526, 1), "")</f>
        <v/>
      </c>
      <c r="V526" s="63" t="str">
        <f>IFERROR(INDEX(StatusBranchGrade[Rank/Grade], MATCH(ROWS($U$3:U526)-1, StatusBranchGrade[T2], 0)), "") &amp; ""</f>
        <v/>
      </c>
      <c r="W526" s="63"/>
    </row>
    <row r="527" spans="1:23" x14ac:dyDescent="0.25">
      <c r="A527">
        <v>6</v>
      </c>
      <c r="B527" t="s">
        <v>218</v>
      </c>
      <c r="C527" t="s">
        <v>182</v>
      </c>
      <c r="D527" t="s">
        <v>102</v>
      </c>
      <c r="E527" t="str">
        <f>IF(StatusBranchGrade[[#This Row],[Status]] = "CYS", "DoD", StatusBranchGrade[[#This Row],[Rank]] &amp; "")</f>
        <v>E-4</v>
      </c>
      <c r="F527" t="s">
        <v>102</v>
      </c>
      <c r="G527" t="str">
        <f>IF(StatusBranchGrade[[#This Row],[Rank]] = StatusBranchGrade[[#This Row],[Grade]], StatusBranchGrade[[#This Row],[Rank]], StatusBranchGrade[[#This Row],[Grade]] &amp; "/" &amp; StatusBranchGrade[[#This Row],[Rank]]) &amp; ""</f>
        <v>E-4</v>
      </c>
      <c r="H52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E-4</v>
      </c>
      <c r="I527" s="17" t="str">
        <f>SUBSTITUTE(SUBSTITUTE(SUBSTITUTE(StatusBranchGrade[[#This Row],[Status]] &amp; "  /  " &amp; StatusBranchGrade[[#This Row],[Branch]] &amp; ";", "  /  ;", ";"), "  /  ;", ";"), ";", "")</f>
        <v>Full-time Reserve  /  Navy</v>
      </c>
      <c r="J527">
        <v>12</v>
      </c>
      <c r="K527" s="17" t="str">
        <f>IF(LEFT(StatusBranchGrade[[#This Row],[Which]], 1) = "1", StatusBranchGrade[[#This Row],[Key]], "")</f>
        <v>Full-time Reserve  /  Navy  /  E-4</v>
      </c>
      <c r="L527" s="17" t="str">
        <f>IF(LEFT(StatusBranchGrade[[#This Row],[Which]], 1) = "1", StatusBranchGrade[[#This Row],[Key0]], "")</f>
        <v>Full-time Reserve  /  Navy</v>
      </c>
      <c r="M527" s="17" t="str">
        <f>IF(RIGHT(StatusBranchGrade[[#This Row],[Which]], 1) = "2", StatusBranchGrade[[#This Row],[Key]], "")</f>
        <v>Full-time Reserve  /  Navy  /  E-4</v>
      </c>
      <c r="N527" s="17" t="str">
        <f>IF(RIGHT(StatusBranchGrade[[#This Row],[Which]], 1) = "2", StatusBranchGrade[[#This Row],[Key0]], "")</f>
        <v>Full-time Reserve  /  Navy</v>
      </c>
      <c r="O527" s="17" t="s">
        <v>301</v>
      </c>
      <c r="P527" s="17"/>
      <c r="Q527" s="63">
        <f>--ISNUMBER(IF(StatusBranchGrade[[#This Row],[Sponsor0]] = 'Calculation Worksheet'!$AV$6 &amp; "  /  " &amp; 'Calculation Worksheet'!$AV$7, 1, ""))</f>
        <v>0</v>
      </c>
      <c r="R527" s="63" t="str">
        <f>IF(StatusBranchGrade[[#This Row],[S1]] = 1, COUNTIF($Q$3:Q527, 1), "")</f>
        <v/>
      </c>
      <c r="S527" s="63" t="str">
        <f>IFERROR(INDEX(StatusBranchGrade[Rank/Grade], MATCH(ROWS($R$3:R527)-1, StatusBranchGrade[S2], 0)), "") &amp; ""</f>
        <v/>
      </c>
      <c r="T527" s="63">
        <f>--ISNUMBER(IF(StatusBranchGrade[[#This Row],[Spouse0]] = 'Calculation Worksheet'!$CG$6 &amp; "  /  " &amp; 'Calculation Worksheet'!$CG$7, 1, ""))</f>
        <v>0</v>
      </c>
      <c r="U527" s="63" t="str">
        <f>IF(StatusBranchGrade[[#This Row],[T1]] = 1, COUNTIF($T$3:T527, 1), "")</f>
        <v/>
      </c>
      <c r="V527" s="63" t="str">
        <f>IFERROR(INDEX(StatusBranchGrade[Rank/Grade], MATCH(ROWS($U$3:U527)-1, StatusBranchGrade[T2], 0)), "") &amp; ""</f>
        <v/>
      </c>
      <c r="W527" s="63"/>
    </row>
    <row r="528" spans="1:23" x14ac:dyDescent="0.25">
      <c r="A528">
        <v>6</v>
      </c>
      <c r="B528" t="s">
        <v>218</v>
      </c>
      <c r="C528" t="s">
        <v>182</v>
      </c>
      <c r="D528" t="s">
        <v>101</v>
      </c>
      <c r="E528" t="str">
        <f>IF(StatusBranchGrade[[#This Row],[Status]] = "CYS", "DoD", StatusBranchGrade[[#This Row],[Rank]] &amp; "")</f>
        <v>E-5</v>
      </c>
      <c r="F528" t="s">
        <v>101</v>
      </c>
      <c r="G528" t="str">
        <f>IF(StatusBranchGrade[[#This Row],[Rank]] = StatusBranchGrade[[#This Row],[Grade]], StatusBranchGrade[[#This Row],[Rank]], StatusBranchGrade[[#This Row],[Grade]] &amp; "/" &amp; StatusBranchGrade[[#This Row],[Rank]]) &amp; ""</f>
        <v>E-5</v>
      </c>
      <c r="H52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E-5</v>
      </c>
      <c r="I528" s="17" t="str">
        <f>SUBSTITUTE(SUBSTITUTE(SUBSTITUTE(StatusBranchGrade[[#This Row],[Status]] &amp; "  /  " &amp; StatusBranchGrade[[#This Row],[Branch]] &amp; ";", "  /  ;", ";"), "  /  ;", ";"), ";", "")</f>
        <v>Full-time Reserve  /  Navy</v>
      </c>
      <c r="J528">
        <v>12</v>
      </c>
      <c r="K528" s="17" t="str">
        <f>IF(LEFT(StatusBranchGrade[[#This Row],[Which]], 1) = "1", StatusBranchGrade[[#This Row],[Key]], "")</f>
        <v>Full-time Reserve  /  Navy  /  E-5</v>
      </c>
      <c r="L528" s="17" t="str">
        <f>IF(LEFT(StatusBranchGrade[[#This Row],[Which]], 1) = "1", StatusBranchGrade[[#This Row],[Key0]], "")</f>
        <v>Full-time Reserve  /  Navy</v>
      </c>
      <c r="M528" s="17" t="str">
        <f>IF(RIGHT(StatusBranchGrade[[#This Row],[Which]], 1) = "2", StatusBranchGrade[[#This Row],[Key]], "")</f>
        <v>Full-time Reserve  /  Navy  /  E-5</v>
      </c>
      <c r="N528" s="17" t="str">
        <f>IF(RIGHT(StatusBranchGrade[[#This Row],[Which]], 1) = "2", StatusBranchGrade[[#This Row],[Key0]], "")</f>
        <v>Full-time Reserve  /  Navy</v>
      </c>
      <c r="O528" s="17" t="s">
        <v>301</v>
      </c>
      <c r="P528" s="17"/>
      <c r="Q528" s="63">
        <f>--ISNUMBER(IF(StatusBranchGrade[[#This Row],[Sponsor0]] = 'Calculation Worksheet'!$AV$6 &amp; "  /  " &amp; 'Calculation Worksheet'!$AV$7, 1, ""))</f>
        <v>0</v>
      </c>
      <c r="R528" s="63" t="str">
        <f>IF(StatusBranchGrade[[#This Row],[S1]] = 1, COUNTIF($Q$3:Q528, 1), "")</f>
        <v/>
      </c>
      <c r="S528" s="63" t="str">
        <f>IFERROR(INDEX(StatusBranchGrade[Rank/Grade], MATCH(ROWS($R$3:R528)-1, StatusBranchGrade[S2], 0)), "") &amp; ""</f>
        <v/>
      </c>
      <c r="T528" s="63">
        <f>--ISNUMBER(IF(StatusBranchGrade[[#This Row],[Spouse0]] = 'Calculation Worksheet'!$CG$6 &amp; "  /  " &amp; 'Calculation Worksheet'!$CG$7, 1, ""))</f>
        <v>0</v>
      </c>
      <c r="U528" s="63" t="str">
        <f>IF(StatusBranchGrade[[#This Row],[T1]] = 1, COUNTIF($T$3:T528, 1), "")</f>
        <v/>
      </c>
      <c r="V528" s="63" t="str">
        <f>IFERROR(INDEX(StatusBranchGrade[Rank/Grade], MATCH(ROWS($U$3:U528)-1, StatusBranchGrade[T2], 0)), "") &amp; ""</f>
        <v/>
      </c>
      <c r="W528" s="63"/>
    </row>
    <row r="529" spans="1:23" x14ac:dyDescent="0.25">
      <c r="A529">
        <v>6</v>
      </c>
      <c r="B529" t="s">
        <v>218</v>
      </c>
      <c r="C529" t="s">
        <v>182</v>
      </c>
      <c r="D529" t="s">
        <v>100</v>
      </c>
      <c r="E529" t="str">
        <f>IF(StatusBranchGrade[[#This Row],[Status]] = "CYS", "DoD", StatusBranchGrade[[#This Row],[Rank]] &amp; "")</f>
        <v>E-6</v>
      </c>
      <c r="F529" t="s">
        <v>100</v>
      </c>
      <c r="G529" t="str">
        <f>IF(StatusBranchGrade[[#This Row],[Rank]] = StatusBranchGrade[[#This Row],[Grade]], StatusBranchGrade[[#This Row],[Rank]], StatusBranchGrade[[#This Row],[Grade]] &amp; "/" &amp; StatusBranchGrade[[#This Row],[Rank]]) &amp; ""</f>
        <v>E-6</v>
      </c>
      <c r="H52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E-6</v>
      </c>
      <c r="I529" s="17" t="str">
        <f>SUBSTITUTE(SUBSTITUTE(SUBSTITUTE(StatusBranchGrade[[#This Row],[Status]] &amp; "  /  " &amp; StatusBranchGrade[[#This Row],[Branch]] &amp; ";", "  /  ;", ";"), "  /  ;", ";"), ";", "")</f>
        <v>Full-time Reserve  /  Navy</v>
      </c>
      <c r="J529">
        <v>12</v>
      </c>
      <c r="K529" s="17" t="str">
        <f>IF(LEFT(StatusBranchGrade[[#This Row],[Which]], 1) = "1", StatusBranchGrade[[#This Row],[Key]], "")</f>
        <v>Full-time Reserve  /  Navy  /  E-6</v>
      </c>
      <c r="L529" s="17" t="str">
        <f>IF(LEFT(StatusBranchGrade[[#This Row],[Which]], 1) = "1", StatusBranchGrade[[#This Row],[Key0]], "")</f>
        <v>Full-time Reserve  /  Navy</v>
      </c>
      <c r="M529" s="17" t="str">
        <f>IF(RIGHT(StatusBranchGrade[[#This Row],[Which]], 1) = "2", StatusBranchGrade[[#This Row],[Key]], "")</f>
        <v>Full-time Reserve  /  Navy  /  E-6</v>
      </c>
      <c r="N529" s="17" t="str">
        <f>IF(RIGHT(StatusBranchGrade[[#This Row],[Which]], 1) = "2", StatusBranchGrade[[#This Row],[Key0]], "")</f>
        <v>Full-time Reserve  /  Navy</v>
      </c>
      <c r="O529" s="17" t="s">
        <v>301</v>
      </c>
      <c r="P529" s="17"/>
      <c r="Q529" s="63">
        <f>--ISNUMBER(IF(StatusBranchGrade[[#This Row],[Sponsor0]] = 'Calculation Worksheet'!$AV$6 &amp; "  /  " &amp; 'Calculation Worksheet'!$AV$7, 1, ""))</f>
        <v>0</v>
      </c>
      <c r="R529" s="63" t="str">
        <f>IF(StatusBranchGrade[[#This Row],[S1]] = 1, COUNTIF($Q$3:Q529, 1), "")</f>
        <v/>
      </c>
      <c r="S529" s="63" t="str">
        <f>IFERROR(INDEX(StatusBranchGrade[Rank/Grade], MATCH(ROWS($R$3:R529)-1, StatusBranchGrade[S2], 0)), "") &amp; ""</f>
        <v/>
      </c>
      <c r="T529" s="63">
        <f>--ISNUMBER(IF(StatusBranchGrade[[#This Row],[Spouse0]] = 'Calculation Worksheet'!$CG$6 &amp; "  /  " &amp; 'Calculation Worksheet'!$CG$7, 1, ""))</f>
        <v>0</v>
      </c>
      <c r="U529" s="63" t="str">
        <f>IF(StatusBranchGrade[[#This Row],[T1]] = 1, COUNTIF($T$3:T529, 1), "")</f>
        <v/>
      </c>
      <c r="V529" s="63" t="str">
        <f>IFERROR(INDEX(StatusBranchGrade[Rank/Grade], MATCH(ROWS($U$3:U529)-1, StatusBranchGrade[T2], 0)), "") &amp; ""</f>
        <v/>
      </c>
      <c r="W529" s="63"/>
    </row>
    <row r="530" spans="1:23" x14ac:dyDescent="0.25">
      <c r="A530">
        <v>6</v>
      </c>
      <c r="B530" t="s">
        <v>218</v>
      </c>
      <c r="C530" t="s">
        <v>182</v>
      </c>
      <c r="D530" t="s">
        <v>99</v>
      </c>
      <c r="E530" t="str">
        <f>IF(StatusBranchGrade[[#This Row],[Status]] = "CYS", "DoD", StatusBranchGrade[[#This Row],[Rank]] &amp; "")</f>
        <v>E-7</v>
      </c>
      <c r="F530" t="s">
        <v>99</v>
      </c>
      <c r="G530" t="str">
        <f>IF(StatusBranchGrade[[#This Row],[Rank]] = StatusBranchGrade[[#This Row],[Grade]], StatusBranchGrade[[#This Row],[Rank]], StatusBranchGrade[[#This Row],[Grade]] &amp; "/" &amp; StatusBranchGrade[[#This Row],[Rank]]) &amp; ""</f>
        <v>E-7</v>
      </c>
      <c r="H53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E-7</v>
      </c>
      <c r="I530" s="17" t="str">
        <f>SUBSTITUTE(SUBSTITUTE(SUBSTITUTE(StatusBranchGrade[[#This Row],[Status]] &amp; "  /  " &amp; StatusBranchGrade[[#This Row],[Branch]] &amp; ";", "  /  ;", ";"), "  /  ;", ";"), ";", "")</f>
        <v>Full-time Reserve  /  Navy</v>
      </c>
      <c r="J530">
        <v>12</v>
      </c>
      <c r="K530" s="17" t="str">
        <f>IF(LEFT(StatusBranchGrade[[#This Row],[Which]], 1) = "1", StatusBranchGrade[[#This Row],[Key]], "")</f>
        <v>Full-time Reserve  /  Navy  /  E-7</v>
      </c>
      <c r="L530" s="17" t="str">
        <f>IF(LEFT(StatusBranchGrade[[#This Row],[Which]], 1) = "1", StatusBranchGrade[[#This Row],[Key0]], "")</f>
        <v>Full-time Reserve  /  Navy</v>
      </c>
      <c r="M530" s="17" t="str">
        <f>IF(RIGHT(StatusBranchGrade[[#This Row],[Which]], 1) = "2", StatusBranchGrade[[#This Row],[Key]], "")</f>
        <v>Full-time Reserve  /  Navy  /  E-7</v>
      </c>
      <c r="N530" s="17" t="str">
        <f>IF(RIGHT(StatusBranchGrade[[#This Row],[Which]], 1) = "2", StatusBranchGrade[[#This Row],[Key0]], "")</f>
        <v>Full-time Reserve  /  Navy</v>
      </c>
      <c r="O530" s="17" t="s">
        <v>301</v>
      </c>
      <c r="P530" s="17"/>
      <c r="Q530" s="63">
        <f>--ISNUMBER(IF(StatusBranchGrade[[#This Row],[Sponsor0]] = 'Calculation Worksheet'!$AV$6 &amp; "  /  " &amp; 'Calculation Worksheet'!$AV$7, 1, ""))</f>
        <v>0</v>
      </c>
      <c r="R530" s="63" t="str">
        <f>IF(StatusBranchGrade[[#This Row],[S1]] = 1, COUNTIF($Q$3:Q530, 1), "")</f>
        <v/>
      </c>
      <c r="S530" s="63" t="str">
        <f>IFERROR(INDEX(StatusBranchGrade[Rank/Grade], MATCH(ROWS($R$3:R530)-1, StatusBranchGrade[S2], 0)), "") &amp; ""</f>
        <v/>
      </c>
      <c r="T530" s="63">
        <f>--ISNUMBER(IF(StatusBranchGrade[[#This Row],[Spouse0]] = 'Calculation Worksheet'!$CG$6 &amp; "  /  " &amp; 'Calculation Worksheet'!$CG$7, 1, ""))</f>
        <v>0</v>
      </c>
      <c r="U530" s="63" t="str">
        <f>IF(StatusBranchGrade[[#This Row],[T1]] = 1, COUNTIF($T$3:T530, 1), "")</f>
        <v/>
      </c>
      <c r="V530" s="63" t="str">
        <f>IFERROR(INDEX(StatusBranchGrade[Rank/Grade], MATCH(ROWS($U$3:U530)-1, StatusBranchGrade[T2], 0)), "") &amp; ""</f>
        <v/>
      </c>
      <c r="W530" s="63"/>
    </row>
    <row r="531" spans="1:23" x14ac:dyDescent="0.25">
      <c r="A531">
        <v>6</v>
      </c>
      <c r="B531" t="s">
        <v>218</v>
      </c>
      <c r="C531" t="s">
        <v>182</v>
      </c>
      <c r="D531" t="s">
        <v>98</v>
      </c>
      <c r="E531" t="str">
        <f>IF(StatusBranchGrade[[#This Row],[Status]] = "CYS", "DoD", StatusBranchGrade[[#This Row],[Rank]] &amp; "")</f>
        <v>E-8</v>
      </c>
      <c r="F531" t="s">
        <v>98</v>
      </c>
      <c r="G531" t="str">
        <f>IF(StatusBranchGrade[[#This Row],[Rank]] = StatusBranchGrade[[#This Row],[Grade]], StatusBranchGrade[[#This Row],[Rank]], StatusBranchGrade[[#This Row],[Grade]] &amp; "/" &amp; StatusBranchGrade[[#This Row],[Rank]]) &amp; ""</f>
        <v>E-8</v>
      </c>
      <c r="H53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E-8</v>
      </c>
      <c r="I531" s="17" t="str">
        <f>SUBSTITUTE(SUBSTITUTE(SUBSTITUTE(StatusBranchGrade[[#This Row],[Status]] &amp; "  /  " &amp; StatusBranchGrade[[#This Row],[Branch]] &amp; ";", "  /  ;", ";"), "  /  ;", ";"), ";", "")</f>
        <v>Full-time Reserve  /  Navy</v>
      </c>
      <c r="J531">
        <v>12</v>
      </c>
      <c r="K531" s="17" t="str">
        <f>IF(LEFT(StatusBranchGrade[[#This Row],[Which]], 1) = "1", StatusBranchGrade[[#This Row],[Key]], "")</f>
        <v>Full-time Reserve  /  Navy  /  E-8</v>
      </c>
      <c r="L531" s="17" t="str">
        <f>IF(LEFT(StatusBranchGrade[[#This Row],[Which]], 1) = "1", StatusBranchGrade[[#This Row],[Key0]], "")</f>
        <v>Full-time Reserve  /  Navy</v>
      </c>
      <c r="M531" s="17" t="str">
        <f>IF(RIGHT(StatusBranchGrade[[#This Row],[Which]], 1) = "2", StatusBranchGrade[[#This Row],[Key]], "")</f>
        <v>Full-time Reserve  /  Navy  /  E-8</v>
      </c>
      <c r="N531" s="17" t="str">
        <f>IF(RIGHT(StatusBranchGrade[[#This Row],[Which]], 1) = "2", StatusBranchGrade[[#This Row],[Key0]], "")</f>
        <v>Full-time Reserve  /  Navy</v>
      </c>
      <c r="O531" s="17" t="s">
        <v>301</v>
      </c>
      <c r="P531" s="17"/>
      <c r="Q531" s="63">
        <f>--ISNUMBER(IF(StatusBranchGrade[[#This Row],[Sponsor0]] = 'Calculation Worksheet'!$AV$6 &amp; "  /  " &amp; 'Calculation Worksheet'!$AV$7, 1, ""))</f>
        <v>0</v>
      </c>
      <c r="R531" s="63" t="str">
        <f>IF(StatusBranchGrade[[#This Row],[S1]] = 1, COUNTIF($Q$3:Q531, 1), "")</f>
        <v/>
      </c>
      <c r="S531" s="63" t="str">
        <f>IFERROR(INDEX(StatusBranchGrade[Rank/Grade], MATCH(ROWS($R$3:R531)-1, StatusBranchGrade[S2], 0)), "") &amp; ""</f>
        <v/>
      </c>
      <c r="T531" s="63">
        <f>--ISNUMBER(IF(StatusBranchGrade[[#This Row],[Spouse0]] = 'Calculation Worksheet'!$CG$6 &amp; "  /  " &amp; 'Calculation Worksheet'!$CG$7, 1, ""))</f>
        <v>0</v>
      </c>
      <c r="U531" s="63" t="str">
        <f>IF(StatusBranchGrade[[#This Row],[T1]] = 1, COUNTIF($T$3:T531, 1), "")</f>
        <v/>
      </c>
      <c r="V531" s="63" t="str">
        <f>IFERROR(INDEX(StatusBranchGrade[Rank/Grade], MATCH(ROWS($U$3:U531)-1, StatusBranchGrade[T2], 0)), "") &amp; ""</f>
        <v/>
      </c>
      <c r="W531" s="63"/>
    </row>
    <row r="532" spans="1:23" x14ac:dyDescent="0.25">
      <c r="A532">
        <v>6</v>
      </c>
      <c r="B532" t="s">
        <v>218</v>
      </c>
      <c r="C532" t="s">
        <v>182</v>
      </c>
      <c r="D532" t="s">
        <v>97</v>
      </c>
      <c r="E532" t="str">
        <f>IF(StatusBranchGrade[[#This Row],[Status]] = "CYS", "DoD", StatusBranchGrade[[#This Row],[Rank]] &amp; "")</f>
        <v>E-9</v>
      </c>
      <c r="F532" t="s">
        <v>97</v>
      </c>
      <c r="G532" t="str">
        <f>IF(StatusBranchGrade[[#This Row],[Rank]] = StatusBranchGrade[[#This Row],[Grade]], StatusBranchGrade[[#This Row],[Rank]], StatusBranchGrade[[#This Row],[Grade]] &amp; "/" &amp; StatusBranchGrade[[#This Row],[Rank]]) &amp; ""</f>
        <v>E-9</v>
      </c>
      <c r="H53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E-9</v>
      </c>
      <c r="I532" s="17" t="str">
        <f>SUBSTITUTE(SUBSTITUTE(SUBSTITUTE(StatusBranchGrade[[#This Row],[Status]] &amp; "  /  " &amp; StatusBranchGrade[[#This Row],[Branch]] &amp; ";", "  /  ;", ";"), "  /  ;", ";"), ";", "")</f>
        <v>Full-time Reserve  /  Navy</v>
      </c>
      <c r="J532">
        <v>12</v>
      </c>
      <c r="K532" s="17" t="str">
        <f>IF(LEFT(StatusBranchGrade[[#This Row],[Which]], 1) = "1", StatusBranchGrade[[#This Row],[Key]], "")</f>
        <v>Full-time Reserve  /  Navy  /  E-9</v>
      </c>
      <c r="L532" s="17" t="str">
        <f>IF(LEFT(StatusBranchGrade[[#This Row],[Which]], 1) = "1", StatusBranchGrade[[#This Row],[Key0]], "")</f>
        <v>Full-time Reserve  /  Navy</v>
      </c>
      <c r="M532" s="17" t="str">
        <f>IF(RIGHT(StatusBranchGrade[[#This Row],[Which]], 1) = "2", StatusBranchGrade[[#This Row],[Key]], "")</f>
        <v>Full-time Reserve  /  Navy  /  E-9</v>
      </c>
      <c r="N532" s="17" t="str">
        <f>IF(RIGHT(StatusBranchGrade[[#This Row],[Which]], 1) = "2", StatusBranchGrade[[#This Row],[Key0]], "")</f>
        <v>Full-time Reserve  /  Navy</v>
      </c>
      <c r="O532" s="17" t="s">
        <v>301</v>
      </c>
      <c r="P532" s="17"/>
      <c r="Q532" s="63">
        <f>--ISNUMBER(IF(StatusBranchGrade[[#This Row],[Sponsor0]] = 'Calculation Worksheet'!$AV$6 &amp; "  /  " &amp; 'Calculation Worksheet'!$AV$7, 1, ""))</f>
        <v>0</v>
      </c>
      <c r="R532" s="63" t="str">
        <f>IF(StatusBranchGrade[[#This Row],[S1]] = 1, COUNTIF($Q$3:Q532, 1), "")</f>
        <v/>
      </c>
      <c r="S532" s="63" t="str">
        <f>IFERROR(INDEX(StatusBranchGrade[Rank/Grade], MATCH(ROWS($R$3:R532)-1, StatusBranchGrade[S2], 0)), "") &amp; ""</f>
        <v/>
      </c>
      <c r="T532" s="63">
        <f>--ISNUMBER(IF(StatusBranchGrade[[#This Row],[Spouse0]] = 'Calculation Worksheet'!$CG$6 &amp; "  /  " &amp; 'Calculation Worksheet'!$CG$7, 1, ""))</f>
        <v>0</v>
      </c>
      <c r="U532" s="63" t="str">
        <f>IF(StatusBranchGrade[[#This Row],[T1]] = 1, COUNTIF($T$3:T532, 1), "")</f>
        <v/>
      </c>
      <c r="V532" s="63" t="str">
        <f>IFERROR(INDEX(StatusBranchGrade[Rank/Grade], MATCH(ROWS($U$3:U532)-1, StatusBranchGrade[T2], 0)), "") &amp; ""</f>
        <v/>
      </c>
      <c r="W532" s="63"/>
    </row>
    <row r="533" spans="1:23" x14ac:dyDescent="0.25">
      <c r="A533">
        <v>6</v>
      </c>
      <c r="B533" t="s">
        <v>218</v>
      </c>
      <c r="C533" t="s">
        <v>182</v>
      </c>
      <c r="D533" t="s">
        <v>91</v>
      </c>
      <c r="E533" t="str">
        <f>IF(StatusBranchGrade[[#This Row],[Status]] = "CYS", "DoD", StatusBranchGrade[[#This Row],[Rank]] &amp; "")</f>
        <v>O-1</v>
      </c>
      <c r="F533" t="s">
        <v>91</v>
      </c>
      <c r="G533" t="str">
        <f>IF(StatusBranchGrade[[#This Row],[Rank]] = StatusBranchGrade[[#This Row],[Grade]], StatusBranchGrade[[#This Row],[Rank]], StatusBranchGrade[[#This Row],[Grade]] &amp; "/" &amp; StatusBranchGrade[[#This Row],[Rank]]) &amp; ""</f>
        <v>O-1</v>
      </c>
      <c r="H53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O-1</v>
      </c>
      <c r="I533" s="17" t="str">
        <f>SUBSTITUTE(SUBSTITUTE(SUBSTITUTE(StatusBranchGrade[[#This Row],[Status]] &amp; "  /  " &amp; StatusBranchGrade[[#This Row],[Branch]] &amp; ";", "  /  ;", ";"), "  /  ;", ";"), ";", "")</f>
        <v>Full-time Reserve  /  Navy</v>
      </c>
      <c r="J533">
        <v>12</v>
      </c>
      <c r="K533" s="17" t="str">
        <f>IF(LEFT(StatusBranchGrade[[#This Row],[Which]], 1) = "1", StatusBranchGrade[[#This Row],[Key]], "")</f>
        <v>Full-time Reserve  /  Navy  /  O-1</v>
      </c>
      <c r="L533" s="17" t="str">
        <f>IF(LEFT(StatusBranchGrade[[#This Row],[Which]], 1) = "1", StatusBranchGrade[[#This Row],[Key0]], "")</f>
        <v>Full-time Reserve  /  Navy</v>
      </c>
      <c r="M533" s="17" t="str">
        <f>IF(RIGHT(StatusBranchGrade[[#This Row],[Which]], 1) = "2", StatusBranchGrade[[#This Row],[Key]], "")</f>
        <v>Full-time Reserve  /  Navy  /  O-1</v>
      </c>
      <c r="N533" s="17" t="str">
        <f>IF(RIGHT(StatusBranchGrade[[#This Row],[Which]], 1) = "2", StatusBranchGrade[[#This Row],[Key0]], "")</f>
        <v>Full-time Reserve  /  Navy</v>
      </c>
      <c r="O533" s="17" t="s">
        <v>301</v>
      </c>
      <c r="P533" s="17"/>
      <c r="Q533" s="63">
        <f>--ISNUMBER(IF(StatusBranchGrade[[#This Row],[Sponsor0]] = 'Calculation Worksheet'!$AV$6 &amp; "  /  " &amp; 'Calculation Worksheet'!$AV$7, 1, ""))</f>
        <v>0</v>
      </c>
      <c r="R533" s="63" t="str">
        <f>IF(StatusBranchGrade[[#This Row],[S1]] = 1, COUNTIF($Q$3:Q533, 1), "")</f>
        <v/>
      </c>
      <c r="S533" s="63" t="str">
        <f>IFERROR(INDEX(StatusBranchGrade[Rank/Grade], MATCH(ROWS($R$3:R533)-1, StatusBranchGrade[S2], 0)), "") &amp; ""</f>
        <v/>
      </c>
      <c r="T533" s="63">
        <f>--ISNUMBER(IF(StatusBranchGrade[[#This Row],[Spouse0]] = 'Calculation Worksheet'!$CG$6 &amp; "  /  " &amp; 'Calculation Worksheet'!$CG$7, 1, ""))</f>
        <v>0</v>
      </c>
      <c r="U533" s="63" t="str">
        <f>IF(StatusBranchGrade[[#This Row],[T1]] = 1, COUNTIF($T$3:T533, 1), "")</f>
        <v/>
      </c>
      <c r="V533" s="63" t="str">
        <f>IFERROR(INDEX(StatusBranchGrade[Rank/Grade], MATCH(ROWS($U$3:U533)-1, StatusBranchGrade[T2], 0)), "") &amp; ""</f>
        <v/>
      </c>
      <c r="W533" s="63"/>
    </row>
    <row r="534" spans="1:23" x14ac:dyDescent="0.25">
      <c r="A534">
        <v>6</v>
      </c>
      <c r="B534" t="s">
        <v>218</v>
      </c>
      <c r="C534" t="s">
        <v>182</v>
      </c>
      <c r="D534" s="75" t="s">
        <v>10</v>
      </c>
      <c r="E534" s="75" t="str">
        <f>IF(StatusBranchGrade[[#This Row],[Status]] = "CYS", "DoD", StatusBranchGrade[[#This Row],[Rank]] &amp; "")</f>
        <v>O1E</v>
      </c>
      <c r="F534" s="75" t="s">
        <v>91</v>
      </c>
      <c r="G534" s="75" t="str">
        <f>IF(StatusBranchGrade[[#This Row],[Rank]] = StatusBranchGrade[[#This Row],[Grade]], StatusBranchGrade[[#This Row],[Rank]], StatusBranchGrade[[#This Row],[Grade]] &amp; "/" &amp; StatusBranchGrade[[#This Row],[Rank]]) &amp; ""</f>
        <v>O-1/O1E</v>
      </c>
      <c r="H53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O-1/O1E</v>
      </c>
      <c r="I534" s="17" t="str">
        <f>SUBSTITUTE(SUBSTITUTE(SUBSTITUTE(StatusBranchGrade[[#This Row],[Status]] &amp; "  /  " &amp; StatusBranchGrade[[#This Row],[Branch]] &amp; ";", "  /  ;", ";"), "  /  ;", ";"), ";", "")</f>
        <v>Full-time Reserve  /  Navy</v>
      </c>
      <c r="J534">
        <v>12</v>
      </c>
      <c r="K534" s="17" t="str">
        <f>IF(LEFT(StatusBranchGrade[[#This Row],[Which]], 1) = "1", StatusBranchGrade[[#This Row],[Key]], "")</f>
        <v>Full-time Reserve  /  Navy  /  O-1/O1E</v>
      </c>
      <c r="L534" s="17" t="str">
        <f>IF(LEFT(StatusBranchGrade[[#This Row],[Which]], 1) = "1", StatusBranchGrade[[#This Row],[Key0]], "")</f>
        <v>Full-time Reserve  /  Navy</v>
      </c>
      <c r="M534" s="17" t="str">
        <f>IF(RIGHT(StatusBranchGrade[[#This Row],[Which]], 1) = "2", StatusBranchGrade[[#This Row],[Key]], "")</f>
        <v>Full-time Reserve  /  Navy  /  O-1/O1E</v>
      </c>
      <c r="N534" s="17" t="str">
        <f>IF(RIGHT(StatusBranchGrade[[#This Row],[Which]], 1) = "2", StatusBranchGrade[[#This Row],[Key0]], "")</f>
        <v>Full-time Reserve  /  Navy</v>
      </c>
      <c r="O534" s="17" t="s">
        <v>301</v>
      </c>
      <c r="P534" s="17"/>
      <c r="Q534" s="63">
        <f>--ISNUMBER(IF(StatusBranchGrade[[#This Row],[Sponsor0]] = 'Calculation Worksheet'!$AV$6 &amp; "  /  " &amp; 'Calculation Worksheet'!$AV$7, 1, ""))</f>
        <v>0</v>
      </c>
      <c r="R534" s="63" t="str">
        <f>IF(StatusBranchGrade[[#This Row],[S1]] = 1, COUNTIF($Q$3:Q534, 1), "")</f>
        <v/>
      </c>
      <c r="S534" s="63" t="str">
        <f>IFERROR(INDEX(StatusBranchGrade[Rank/Grade], MATCH(ROWS($R$3:R534)-1, StatusBranchGrade[S2], 0)), "") &amp; ""</f>
        <v/>
      </c>
      <c r="T534" s="63">
        <f>--ISNUMBER(IF(StatusBranchGrade[[#This Row],[Spouse0]] = 'Calculation Worksheet'!$CG$6 &amp; "  /  " &amp; 'Calculation Worksheet'!$CG$7, 1, ""))</f>
        <v>0</v>
      </c>
      <c r="U534" s="63" t="str">
        <f>IF(StatusBranchGrade[[#This Row],[T1]] = 1, COUNTIF($T$3:T534, 1), "")</f>
        <v/>
      </c>
      <c r="V534" s="63" t="str">
        <f>IFERROR(INDEX(StatusBranchGrade[Rank/Grade], MATCH(ROWS($U$3:U534)-1, StatusBranchGrade[T2], 0)), "") &amp; ""</f>
        <v/>
      </c>
      <c r="W534" s="63"/>
    </row>
    <row r="535" spans="1:23" x14ac:dyDescent="0.25">
      <c r="A535">
        <v>6</v>
      </c>
      <c r="B535" t="s">
        <v>218</v>
      </c>
      <c r="C535" t="s">
        <v>182</v>
      </c>
      <c r="D535" t="s">
        <v>82</v>
      </c>
      <c r="E535" t="str">
        <f>IF(StatusBranchGrade[[#This Row],[Status]] = "CYS", "DoD", StatusBranchGrade[[#This Row],[Rank]] &amp; "")</f>
        <v>O-10</v>
      </c>
      <c r="F535" t="s">
        <v>82</v>
      </c>
      <c r="G535" t="str">
        <f>IF(StatusBranchGrade[[#This Row],[Rank]] = StatusBranchGrade[[#This Row],[Grade]], StatusBranchGrade[[#This Row],[Rank]], StatusBranchGrade[[#This Row],[Grade]] &amp; "/" &amp; StatusBranchGrade[[#This Row],[Rank]]) &amp; ""</f>
        <v>O-10</v>
      </c>
      <c r="H53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O-10</v>
      </c>
      <c r="I535" s="17" t="str">
        <f>SUBSTITUTE(SUBSTITUTE(SUBSTITUTE(StatusBranchGrade[[#This Row],[Status]] &amp; "  /  " &amp; StatusBranchGrade[[#This Row],[Branch]] &amp; ";", "  /  ;", ";"), "  /  ;", ";"), ";", "")</f>
        <v>Full-time Reserve  /  Navy</v>
      </c>
      <c r="J535">
        <v>12</v>
      </c>
      <c r="K535" s="17" t="str">
        <f>IF(LEFT(StatusBranchGrade[[#This Row],[Which]], 1) = "1", StatusBranchGrade[[#This Row],[Key]], "")</f>
        <v>Full-time Reserve  /  Navy  /  O-10</v>
      </c>
      <c r="L535" s="17" t="str">
        <f>IF(LEFT(StatusBranchGrade[[#This Row],[Which]], 1) = "1", StatusBranchGrade[[#This Row],[Key0]], "")</f>
        <v>Full-time Reserve  /  Navy</v>
      </c>
      <c r="M535" s="17" t="str">
        <f>IF(RIGHT(StatusBranchGrade[[#This Row],[Which]], 1) = "2", StatusBranchGrade[[#This Row],[Key]], "")</f>
        <v>Full-time Reserve  /  Navy  /  O-10</v>
      </c>
      <c r="N535" s="17" t="str">
        <f>IF(RIGHT(StatusBranchGrade[[#This Row],[Which]], 1) = "2", StatusBranchGrade[[#This Row],[Key0]], "")</f>
        <v>Full-time Reserve  /  Navy</v>
      </c>
      <c r="O535" s="17" t="s">
        <v>301</v>
      </c>
      <c r="P535" s="17"/>
      <c r="Q535" s="63">
        <f>--ISNUMBER(IF(StatusBranchGrade[[#This Row],[Sponsor0]] = 'Calculation Worksheet'!$AV$6 &amp; "  /  " &amp; 'Calculation Worksheet'!$AV$7, 1, ""))</f>
        <v>0</v>
      </c>
      <c r="R535" s="63" t="str">
        <f>IF(StatusBranchGrade[[#This Row],[S1]] = 1, COUNTIF($Q$3:Q535, 1), "")</f>
        <v/>
      </c>
      <c r="S535" s="63" t="str">
        <f>IFERROR(INDEX(StatusBranchGrade[Rank/Grade], MATCH(ROWS($R$3:R535)-1, StatusBranchGrade[S2], 0)), "") &amp; ""</f>
        <v/>
      </c>
      <c r="T535" s="63">
        <f>--ISNUMBER(IF(StatusBranchGrade[[#This Row],[Spouse0]] = 'Calculation Worksheet'!$CG$6 &amp; "  /  " &amp; 'Calculation Worksheet'!$CG$7, 1, ""))</f>
        <v>0</v>
      </c>
      <c r="U535" s="63" t="str">
        <f>IF(StatusBranchGrade[[#This Row],[T1]] = 1, COUNTIF($T$3:T535, 1), "")</f>
        <v/>
      </c>
      <c r="V535" s="63" t="str">
        <f>IFERROR(INDEX(StatusBranchGrade[Rank/Grade], MATCH(ROWS($U$3:U535)-1, StatusBranchGrade[T2], 0)), "") &amp; ""</f>
        <v/>
      </c>
      <c r="W535" s="63"/>
    </row>
    <row r="536" spans="1:23" x14ac:dyDescent="0.25">
      <c r="A536">
        <v>6</v>
      </c>
      <c r="B536" t="s">
        <v>218</v>
      </c>
      <c r="C536" t="s">
        <v>182</v>
      </c>
      <c r="D536" t="s">
        <v>90</v>
      </c>
      <c r="E536" t="str">
        <f>IF(StatusBranchGrade[[#This Row],[Status]] = "CYS", "DoD", StatusBranchGrade[[#This Row],[Rank]] &amp; "")</f>
        <v>O-2</v>
      </c>
      <c r="F536" t="s">
        <v>90</v>
      </c>
      <c r="G536" t="str">
        <f>IF(StatusBranchGrade[[#This Row],[Rank]] = StatusBranchGrade[[#This Row],[Grade]], StatusBranchGrade[[#This Row],[Rank]], StatusBranchGrade[[#This Row],[Grade]] &amp; "/" &amp; StatusBranchGrade[[#This Row],[Rank]]) &amp; ""</f>
        <v>O-2</v>
      </c>
      <c r="H53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O-2</v>
      </c>
      <c r="I536" s="17" t="str">
        <f>SUBSTITUTE(SUBSTITUTE(SUBSTITUTE(StatusBranchGrade[[#This Row],[Status]] &amp; "  /  " &amp; StatusBranchGrade[[#This Row],[Branch]] &amp; ";", "  /  ;", ";"), "  /  ;", ";"), ";", "")</f>
        <v>Full-time Reserve  /  Navy</v>
      </c>
      <c r="J536">
        <v>12</v>
      </c>
      <c r="K536" s="17" t="str">
        <f>IF(LEFT(StatusBranchGrade[[#This Row],[Which]], 1) = "1", StatusBranchGrade[[#This Row],[Key]], "")</f>
        <v>Full-time Reserve  /  Navy  /  O-2</v>
      </c>
      <c r="L536" s="17" t="str">
        <f>IF(LEFT(StatusBranchGrade[[#This Row],[Which]], 1) = "1", StatusBranchGrade[[#This Row],[Key0]], "")</f>
        <v>Full-time Reserve  /  Navy</v>
      </c>
      <c r="M536" s="17" t="str">
        <f>IF(RIGHT(StatusBranchGrade[[#This Row],[Which]], 1) = "2", StatusBranchGrade[[#This Row],[Key]], "")</f>
        <v>Full-time Reserve  /  Navy  /  O-2</v>
      </c>
      <c r="N536" s="17" t="str">
        <f>IF(RIGHT(StatusBranchGrade[[#This Row],[Which]], 1) = "2", StatusBranchGrade[[#This Row],[Key0]], "")</f>
        <v>Full-time Reserve  /  Navy</v>
      </c>
      <c r="O536" s="17" t="s">
        <v>301</v>
      </c>
      <c r="P536" s="17"/>
      <c r="Q536" s="63">
        <f>--ISNUMBER(IF(StatusBranchGrade[[#This Row],[Sponsor0]] = 'Calculation Worksheet'!$AV$6 &amp; "  /  " &amp; 'Calculation Worksheet'!$AV$7, 1, ""))</f>
        <v>0</v>
      </c>
      <c r="R536" s="63" t="str">
        <f>IF(StatusBranchGrade[[#This Row],[S1]] = 1, COUNTIF($Q$3:Q536, 1), "")</f>
        <v/>
      </c>
      <c r="S536" s="63" t="str">
        <f>IFERROR(INDEX(StatusBranchGrade[Rank/Grade], MATCH(ROWS($R$3:R536)-1, StatusBranchGrade[S2], 0)), "") &amp; ""</f>
        <v/>
      </c>
      <c r="T536" s="63">
        <f>--ISNUMBER(IF(StatusBranchGrade[[#This Row],[Spouse0]] = 'Calculation Worksheet'!$CG$6 &amp; "  /  " &amp; 'Calculation Worksheet'!$CG$7, 1, ""))</f>
        <v>0</v>
      </c>
      <c r="U536" s="63" t="str">
        <f>IF(StatusBranchGrade[[#This Row],[T1]] = 1, COUNTIF($T$3:T536, 1), "")</f>
        <v/>
      </c>
      <c r="V536" s="63" t="str">
        <f>IFERROR(INDEX(StatusBranchGrade[Rank/Grade], MATCH(ROWS($U$3:U536)-1, StatusBranchGrade[T2], 0)), "") &amp; ""</f>
        <v/>
      </c>
      <c r="W536" s="63"/>
    </row>
    <row r="537" spans="1:23" x14ac:dyDescent="0.25">
      <c r="A537">
        <v>6</v>
      </c>
      <c r="B537" t="s">
        <v>218</v>
      </c>
      <c r="C537" t="s">
        <v>182</v>
      </c>
      <c r="D537" s="75" t="s">
        <v>11</v>
      </c>
      <c r="E537" s="75" t="str">
        <f>IF(StatusBranchGrade[[#This Row],[Status]] = "CYS", "DoD", StatusBranchGrade[[#This Row],[Rank]] &amp; "")</f>
        <v>O2E</v>
      </c>
      <c r="F537" s="75" t="s">
        <v>90</v>
      </c>
      <c r="G537" s="75" t="str">
        <f>IF(StatusBranchGrade[[#This Row],[Rank]] = StatusBranchGrade[[#This Row],[Grade]], StatusBranchGrade[[#This Row],[Rank]], StatusBranchGrade[[#This Row],[Grade]] &amp; "/" &amp; StatusBranchGrade[[#This Row],[Rank]]) &amp; ""</f>
        <v>O-2/O2E</v>
      </c>
      <c r="H53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O-2/O2E</v>
      </c>
      <c r="I537" s="17" t="str">
        <f>SUBSTITUTE(SUBSTITUTE(SUBSTITUTE(StatusBranchGrade[[#This Row],[Status]] &amp; "  /  " &amp; StatusBranchGrade[[#This Row],[Branch]] &amp; ";", "  /  ;", ";"), "  /  ;", ";"), ";", "")</f>
        <v>Full-time Reserve  /  Navy</v>
      </c>
      <c r="J537">
        <v>12</v>
      </c>
      <c r="K537" s="17" t="str">
        <f>IF(LEFT(StatusBranchGrade[[#This Row],[Which]], 1) = "1", StatusBranchGrade[[#This Row],[Key]], "")</f>
        <v>Full-time Reserve  /  Navy  /  O-2/O2E</v>
      </c>
      <c r="L537" s="17" t="str">
        <f>IF(LEFT(StatusBranchGrade[[#This Row],[Which]], 1) = "1", StatusBranchGrade[[#This Row],[Key0]], "")</f>
        <v>Full-time Reserve  /  Navy</v>
      </c>
      <c r="M537" s="17" t="str">
        <f>IF(RIGHT(StatusBranchGrade[[#This Row],[Which]], 1) = "2", StatusBranchGrade[[#This Row],[Key]], "")</f>
        <v>Full-time Reserve  /  Navy  /  O-2/O2E</v>
      </c>
      <c r="N537" s="17" t="str">
        <f>IF(RIGHT(StatusBranchGrade[[#This Row],[Which]], 1) = "2", StatusBranchGrade[[#This Row],[Key0]], "")</f>
        <v>Full-time Reserve  /  Navy</v>
      </c>
      <c r="O537" s="17" t="s">
        <v>301</v>
      </c>
      <c r="P537" s="17"/>
      <c r="Q537" s="63">
        <f>--ISNUMBER(IF(StatusBranchGrade[[#This Row],[Sponsor0]] = 'Calculation Worksheet'!$AV$6 &amp; "  /  " &amp; 'Calculation Worksheet'!$AV$7, 1, ""))</f>
        <v>0</v>
      </c>
      <c r="R537" s="63" t="str">
        <f>IF(StatusBranchGrade[[#This Row],[S1]] = 1, COUNTIF($Q$3:Q537, 1), "")</f>
        <v/>
      </c>
      <c r="S537" s="63" t="str">
        <f>IFERROR(INDEX(StatusBranchGrade[Rank/Grade], MATCH(ROWS($R$3:R537)-1, StatusBranchGrade[S2], 0)), "") &amp; ""</f>
        <v/>
      </c>
      <c r="T537" s="63">
        <f>--ISNUMBER(IF(StatusBranchGrade[[#This Row],[Spouse0]] = 'Calculation Worksheet'!$CG$6 &amp; "  /  " &amp; 'Calculation Worksheet'!$CG$7, 1, ""))</f>
        <v>0</v>
      </c>
      <c r="U537" s="63" t="str">
        <f>IF(StatusBranchGrade[[#This Row],[T1]] = 1, COUNTIF($T$3:T537, 1), "")</f>
        <v/>
      </c>
      <c r="V537" s="63" t="str">
        <f>IFERROR(INDEX(StatusBranchGrade[Rank/Grade], MATCH(ROWS($U$3:U537)-1, StatusBranchGrade[T2], 0)), "") &amp; ""</f>
        <v/>
      </c>
      <c r="W537" s="63"/>
    </row>
    <row r="538" spans="1:23" x14ac:dyDescent="0.25">
      <c r="A538">
        <v>6</v>
      </c>
      <c r="B538" t="s">
        <v>218</v>
      </c>
      <c r="C538" t="s">
        <v>182</v>
      </c>
      <c r="D538" t="s">
        <v>89</v>
      </c>
      <c r="E538" t="str">
        <f>IF(StatusBranchGrade[[#This Row],[Status]] = "CYS", "DoD", StatusBranchGrade[[#This Row],[Rank]] &amp; "")</f>
        <v>O-3</v>
      </c>
      <c r="F538" t="s">
        <v>89</v>
      </c>
      <c r="G538" t="str">
        <f>IF(StatusBranchGrade[[#This Row],[Rank]] = StatusBranchGrade[[#This Row],[Grade]], StatusBranchGrade[[#This Row],[Rank]], StatusBranchGrade[[#This Row],[Grade]] &amp; "/" &amp; StatusBranchGrade[[#This Row],[Rank]]) &amp; ""</f>
        <v>O-3</v>
      </c>
      <c r="H53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O-3</v>
      </c>
      <c r="I538" s="17" t="str">
        <f>SUBSTITUTE(SUBSTITUTE(SUBSTITUTE(StatusBranchGrade[[#This Row],[Status]] &amp; "  /  " &amp; StatusBranchGrade[[#This Row],[Branch]] &amp; ";", "  /  ;", ";"), "  /  ;", ";"), ";", "")</f>
        <v>Full-time Reserve  /  Navy</v>
      </c>
      <c r="J538">
        <v>12</v>
      </c>
      <c r="K538" s="17" t="str">
        <f>IF(LEFT(StatusBranchGrade[[#This Row],[Which]], 1) = "1", StatusBranchGrade[[#This Row],[Key]], "")</f>
        <v>Full-time Reserve  /  Navy  /  O-3</v>
      </c>
      <c r="L538" s="17" t="str">
        <f>IF(LEFT(StatusBranchGrade[[#This Row],[Which]], 1) = "1", StatusBranchGrade[[#This Row],[Key0]], "")</f>
        <v>Full-time Reserve  /  Navy</v>
      </c>
      <c r="M538" s="17" t="str">
        <f>IF(RIGHT(StatusBranchGrade[[#This Row],[Which]], 1) = "2", StatusBranchGrade[[#This Row],[Key]], "")</f>
        <v>Full-time Reserve  /  Navy  /  O-3</v>
      </c>
      <c r="N538" s="17" t="str">
        <f>IF(RIGHT(StatusBranchGrade[[#This Row],[Which]], 1) = "2", StatusBranchGrade[[#This Row],[Key0]], "")</f>
        <v>Full-time Reserve  /  Navy</v>
      </c>
      <c r="O538" s="17" t="s">
        <v>301</v>
      </c>
      <c r="P538" s="17"/>
      <c r="Q538" s="63">
        <f>--ISNUMBER(IF(StatusBranchGrade[[#This Row],[Sponsor0]] = 'Calculation Worksheet'!$AV$6 &amp; "  /  " &amp; 'Calculation Worksheet'!$AV$7, 1, ""))</f>
        <v>0</v>
      </c>
      <c r="R538" s="63" t="str">
        <f>IF(StatusBranchGrade[[#This Row],[S1]] = 1, COUNTIF($Q$3:Q538, 1), "")</f>
        <v/>
      </c>
      <c r="S538" s="63" t="str">
        <f>IFERROR(INDEX(StatusBranchGrade[Rank/Grade], MATCH(ROWS($R$3:R538)-1, StatusBranchGrade[S2], 0)), "") &amp; ""</f>
        <v/>
      </c>
      <c r="T538" s="63">
        <f>--ISNUMBER(IF(StatusBranchGrade[[#This Row],[Spouse0]] = 'Calculation Worksheet'!$CG$6 &amp; "  /  " &amp; 'Calculation Worksheet'!$CG$7, 1, ""))</f>
        <v>0</v>
      </c>
      <c r="U538" s="63" t="str">
        <f>IF(StatusBranchGrade[[#This Row],[T1]] = 1, COUNTIF($T$3:T538, 1), "")</f>
        <v/>
      </c>
      <c r="V538" s="63" t="str">
        <f>IFERROR(INDEX(StatusBranchGrade[Rank/Grade], MATCH(ROWS($U$3:U538)-1, StatusBranchGrade[T2], 0)), "") &amp; ""</f>
        <v/>
      </c>
      <c r="W538" s="63"/>
    </row>
    <row r="539" spans="1:23" x14ac:dyDescent="0.25">
      <c r="A539">
        <v>6</v>
      </c>
      <c r="B539" t="s">
        <v>218</v>
      </c>
      <c r="C539" t="s">
        <v>182</v>
      </c>
      <c r="D539" s="75" t="s">
        <v>12</v>
      </c>
      <c r="E539" s="75" t="str">
        <f>IF(StatusBranchGrade[[#This Row],[Status]] = "CYS", "DoD", StatusBranchGrade[[#This Row],[Rank]] &amp; "")</f>
        <v>O3E</v>
      </c>
      <c r="F539" s="75" t="s">
        <v>89</v>
      </c>
      <c r="G539" s="75" t="str">
        <f>IF(StatusBranchGrade[[#This Row],[Rank]] = StatusBranchGrade[[#This Row],[Grade]], StatusBranchGrade[[#This Row],[Rank]], StatusBranchGrade[[#This Row],[Grade]] &amp; "/" &amp; StatusBranchGrade[[#This Row],[Rank]]) &amp; ""</f>
        <v>O-3/O3E</v>
      </c>
      <c r="H53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O-3/O3E</v>
      </c>
      <c r="I539" s="17" t="str">
        <f>SUBSTITUTE(SUBSTITUTE(SUBSTITUTE(StatusBranchGrade[[#This Row],[Status]] &amp; "  /  " &amp; StatusBranchGrade[[#This Row],[Branch]] &amp; ";", "  /  ;", ";"), "  /  ;", ";"), ";", "")</f>
        <v>Full-time Reserve  /  Navy</v>
      </c>
      <c r="J539">
        <v>12</v>
      </c>
      <c r="K539" s="17" t="str">
        <f>IF(LEFT(StatusBranchGrade[[#This Row],[Which]], 1) = "1", StatusBranchGrade[[#This Row],[Key]], "")</f>
        <v>Full-time Reserve  /  Navy  /  O-3/O3E</v>
      </c>
      <c r="L539" s="17" t="str">
        <f>IF(LEFT(StatusBranchGrade[[#This Row],[Which]], 1) = "1", StatusBranchGrade[[#This Row],[Key0]], "")</f>
        <v>Full-time Reserve  /  Navy</v>
      </c>
      <c r="M539" s="17" t="str">
        <f>IF(RIGHT(StatusBranchGrade[[#This Row],[Which]], 1) = "2", StatusBranchGrade[[#This Row],[Key]], "")</f>
        <v>Full-time Reserve  /  Navy  /  O-3/O3E</v>
      </c>
      <c r="N539" s="17" t="str">
        <f>IF(RIGHT(StatusBranchGrade[[#This Row],[Which]], 1) = "2", StatusBranchGrade[[#This Row],[Key0]], "")</f>
        <v>Full-time Reserve  /  Navy</v>
      </c>
      <c r="O539" s="17" t="s">
        <v>301</v>
      </c>
      <c r="P539" s="17"/>
      <c r="Q539" s="63">
        <f>--ISNUMBER(IF(StatusBranchGrade[[#This Row],[Sponsor0]] = 'Calculation Worksheet'!$AV$6 &amp; "  /  " &amp; 'Calculation Worksheet'!$AV$7, 1, ""))</f>
        <v>0</v>
      </c>
      <c r="R539" s="63" t="str">
        <f>IF(StatusBranchGrade[[#This Row],[S1]] = 1, COUNTIF($Q$3:Q539, 1), "")</f>
        <v/>
      </c>
      <c r="S539" s="63" t="str">
        <f>IFERROR(INDEX(StatusBranchGrade[Rank/Grade], MATCH(ROWS($R$3:R539)-1, StatusBranchGrade[S2], 0)), "") &amp; ""</f>
        <v/>
      </c>
      <c r="T539" s="63">
        <f>--ISNUMBER(IF(StatusBranchGrade[[#This Row],[Spouse0]] = 'Calculation Worksheet'!$CG$6 &amp; "  /  " &amp; 'Calculation Worksheet'!$CG$7, 1, ""))</f>
        <v>0</v>
      </c>
      <c r="U539" s="63" t="str">
        <f>IF(StatusBranchGrade[[#This Row],[T1]] = 1, COUNTIF($T$3:T539, 1), "")</f>
        <v/>
      </c>
      <c r="V539" s="63" t="str">
        <f>IFERROR(INDEX(StatusBranchGrade[Rank/Grade], MATCH(ROWS($U$3:U539)-1, StatusBranchGrade[T2], 0)), "") &amp; ""</f>
        <v/>
      </c>
      <c r="W539" s="63"/>
    </row>
    <row r="540" spans="1:23" x14ac:dyDescent="0.25">
      <c r="A540">
        <v>6</v>
      </c>
      <c r="B540" t="s">
        <v>218</v>
      </c>
      <c r="C540" t="s">
        <v>182</v>
      </c>
      <c r="D540" t="s">
        <v>88</v>
      </c>
      <c r="E540" t="str">
        <f>IF(StatusBranchGrade[[#This Row],[Status]] = "CYS", "DoD", StatusBranchGrade[[#This Row],[Rank]] &amp; "")</f>
        <v>O-4</v>
      </c>
      <c r="F540" t="s">
        <v>88</v>
      </c>
      <c r="G540" t="str">
        <f>IF(StatusBranchGrade[[#This Row],[Rank]] = StatusBranchGrade[[#This Row],[Grade]], StatusBranchGrade[[#This Row],[Rank]], StatusBranchGrade[[#This Row],[Grade]] &amp; "/" &amp; StatusBranchGrade[[#This Row],[Rank]]) &amp; ""</f>
        <v>O-4</v>
      </c>
      <c r="H54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O-4</v>
      </c>
      <c r="I540" s="17" t="str">
        <f>SUBSTITUTE(SUBSTITUTE(SUBSTITUTE(StatusBranchGrade[[#This Row],[Status]] &amp; "  /  " &amp; StatusBranchGrade[[#This Row],[Branch]] &amp; ";", "  /  ;", ";"), "  /  ;", ";"), ";", "")</f>
        <v>Full-time Reserve  /  Navy</v>
      </c>
      <c r="J540">
        <v>12</v>
      </c>
      <c r="K540" s="17" t="str">
        <f>IF(LEFT(StatusBranchGrade[[#This Row],[Which]], 1) = "1", StatusBranchGrade[[#This Row],[Key]], "")</f>
        <v>Full-time Reserve  /  Navy  /  O-4</v>
      </c>
      <c r="L540" s="17" t="str">
        <f>IF(LEFT(StatusBranchGrade[[#This Row],[Which]], 1) = "1", StatusBranchGrade[[#This Row],[Key0]], "")</f>
        <v>Full-time Reserve  /  Navy</v>
      </c>
      <c r="M540" s="17" t="str">
        <f>IF(RIGHT(StatusBranchGrade[[#This Row],[Which]], 1) = "2", StatusBranchGrade[[#This Row],[Key]], "")</f>
        <v>Full-time Reserve  /  Navy  /  O-4</v>
      </c>
      <c r="N540" s="17" t="str">
        <f>IF(RIGHT(StatusBranchGrade[[#This Row],[Which]], 1) = "2", StatusBranchGrade[[#This Row],[Key0]], "")</f>
        <v>Full-time Reserve  /  Navy</v>
      </c>
      <c r="O540" s="17" t="s">
        <v>301</v>
      </c>
      <c r="P540" s="17"/>
      <c r="Q540" s="63">
        <f>--ISNUMBER(IF(StatusBranchGrade[[#This Row],[Sponsor0]] = 'Calculation Worksheet'!$AV$6 &amp; "  /  " &amp; 'Calculation Worksheet'!$AV$7, 1, ""))</f>
        <v>0</v>
      </c>
      <c r="R540" s="63" t="str">
        <f>IF(StatusBranchGrade[[#This Row],[S1]] = 1, COUNTIF($Q$3:Q540, 1), "")</f>
        <v/>
      </c>
      <c r="S540" s="63" t="str">
        <f>IFERROR(INDEX(StatusBranchGrade[Rank/Grade], MATCH(ROWS($R$3:R540)-1, StatusBranchGrade[S2], 0)), "") &amp; ""</f>
        <v/>
      </c>
      <c r="T540" s="63">
        <f>--ISNUMBER(IF(StatusBranchGrade[[#This Row],[Spouse0]] = 'Calculation Worksheet'!$CG$6 &amp; "  /  " &amp; 'Calculation Worksheet'!$CG$7, 1, ""))</f>
        <v>0</v>
      </c>
      <c r="U540" s="63" t="str">
        <f>IF(StatusBranchGrade[[#This Row],[T1]] = 1, COUNTIF($T$3:T540, 1), "")</f>
        <v/>
      </c>
      <c r="V540" s="63" t="str">
        <f>IFERROR(INDEX(StatusBranchGrade[Rank/Grade], MATCH(ROWS($U$3:U540)-1, StatusBranchGrade[T2], 0)), "") &amp; ""</f>
        <v/>
      </c>
      <c r="W540" s="63"/>
    </row>
    <row r="541" spans="1:23" x14ac:dyDescent="0.25">
      <c r="A541">
        <v>6</v>
      </c>
      <c r="B541" t="s">
        <v>218</v>
      </c>
      <c r="C541" t="s">
        <v>182</v>
      </c>
      <c r="D541" t="s">
        <v>87</v>
      </c>
      <c r="E541" t="str">
        <f>IF(StatusBranchGrade[[#This Row],[Status]] = "CYS", "DoD", StatusBranchGrade[[#This Row],[Rank]] &amp; "")</f>
        <v>O-5</v>
      </c>
      <c r="F541" t="s">
        <v>87</v>
      </c>
      <c r="G541" t="str">
        <f>IF(StatusBranchGrade[[#This Row],[Rank]] = StatusBranchGrade[[#This Row],[Grade]], StatusBranchGrade[[#This Row],[Rank]], StatusBranchGrade[[#This Row],[Grade]] &amp; "/" &amp; StatusBranchGrade[[#This Row],[Rank]]) &amp; ""</f>
        <v>O-5</v>
      </c>
      <c r="H54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O-5</v>
      </c>
      <c r="I541" s="17" t="str">
        <f>SUBSTITUTE(SUBSTITUTE(SUBSTITUTE(StatusBranchGrade[[#This Row],[Status]] &amp; "  /  " &amp; StatusBranchGrade[[#This Row],[Branch]] &amp; ";", "  /  ;", ";"), "  /  ;", ";"), ";", "")</f>
        <v>Full-time Reserve  /  Navy</v>
      </c>
      <c r="J541">
        <v>12</v>
      </c>
      <c r="K541" s="17" t="str">
        <f>IF(LEFT(StatusBranchGrade[[#This Row],[Which]], 1) = "1", StatusBranchGrade[[#This Row],[Key]], "")</f>
        <v>Full-time Reserve  /  Navy  /  O-5</v>
      </c>
      <c r="L541" s="17" t="str">
        <f>IF(LEFT(StatusBranchGrade[[#This Row],[Which]], 1) = "1", StatusBranchGrade[[#This Row],[Key0]], "")</f>
        <v>Full-time Reserve  /  Navy</v>
      </c>
      <c r="M541" s="17" t="str">
        <f>IF(RIGHT(StatusBranchGrade[[#This Row],[Which]], 1) = "2", StatusBranchGrade[[#This Row],[Key]], "")</f>
        <v>Full-time Reserve  /  Navy  /  O-5</v>
      </c>
      <c r="N541" s="17" t="str">
        <f>IF(RIGHT(StatusBranchGrade[[#This Row],[Which]], 1) = "2", StatusBranchGrade[[#This Row],[Key0]], "")</f>
        <v>Full-time Reserve  /  Navy</v>
      </c>
      <c r="O541" s="17" t="s">
        <v>301</v>
      </c>
      <c r="P541" s="17"/>
      <c r="Q541" s="63">
        <f>--ISNUMBER(IF(StatusBranchGrade[[#This Row],[Sponsor0]] = 'Calculation Worksheet'!$AV$6 &amp; "  /  " &amp; 'Calculation Worksheet'!$AV$7, 1, ""))</f>
        <v>0</v>
      </c>
      <c r="R541" s="63" t="str">
        <f>IF(StatusBranchGrade[[#This Row],[S1]] = 1, COUNTIF($Q$3:Q541, 1), "")</f>
        <v/>
      </c>
      <c r="S541" s="63" t="str">
        <f>IFERROR(INDEX(StatusBranchGrade[Rank/Grade], MATCH(ROWS($R$3:R541)-1, StatusBranchGrade[S2], 0)), "") &amp; ""</f>
        <v/>
      </c>
      <c r="T541" s="63">
        <f>--ISNUMBER(IF(StatusBranchGrade[[#This Row],[Spouse0]] = 'Calculation Worksheet'!$CG$6 &amp; "  /  " &amp; 'Calculation Worksheet'!$CG$7, 1, ""))</f>
        <v>0</v>
      </c>
      <c r="U541" s="63" t="str">
        <f>IF(StatusBranchGrade[[#This Row],[T1]] = 1, COUNTIF($T$3:T541, 1), "")</f>
        <v/>
      </c>
      <c r="V541" s="63" t="str">
        <f>IFERROR(INDEX(StatusBranchGrade[Rank/Grade], MATCH(ROWS($U$3:U541)-1, StatusBranchGrade[T2], 0)), "") &amp; ""</f>
        <v/>
      </c>
      <c r="W541" s="63"/>
    </row>
    <row r="542" spans="1:23" x14ac:dyDescent="0.25">
      <c r="A542">
        <v>6</v>
      </c>
      <c r="B542" t="s">
        <v>218</v>
      </c>
      <c r="C542" t="s">
        <v>182</v>
      </c>
      <c r="D542" t="s">
        <v>86</v>
      </c>
      <c r="E542" t="str">
        <f>IF(StatusBranchGrade[[#This Row],[Status]] = "CYS", "DoD", StatusBranchGrade[[#This Row],[Rank]] &amp; "")</f>
        <v>O-6</v>
      </c>
      <c r="F542" t="s">
        <v>86</v>
      </c>
      <c r="G542" t="str">
        <f>IF(StatusBranchGrade[[#This Row],[Rank]] = StatusBranchGrade[[#This Row],[Grade]], StatusBranchGrade[[#This Row],[Rank]], StatusBranchGrade[[#This Row],[Grade]] &amp; "/" &amp; StatusBranchGrade[[#This Row],[Rank]]) &amp; ""</f>
        <v>O-6</v>
      </c>
      <c r="H54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O-6</v>
      </c>
      <c r="I542" s="17" t="str">
        <f>SUBSTITUTE(SUBSTITUTE(SUBSTITUTE(StatusBranchGrade[[#This Row],[Status]] &amp; "  /  " &amp; StatusBranchGrade[[#This Row],[Branch]] &amp; ";", "  /  ;", ";"), "  /  ;", ";"), ";", "")</f>
        <v>Full-time Reserve  /  Navy</v>
      </c>
      <c r="J542">
        <v>12</v>
      </c>
      <c r="K542" s="17" t="str">
        <f>IF(LEFT(StatusBranchGrade[[#This Row],[Which]], 1) = "1", StatusBranchGrade[[#This Row],[Key]], "")</f>
        <v>Full-time Reserve  /  Navy  /  O-6</v>
      </c>
      <c r="L542" s="17" t="str">
        <f>IF(LEFT(StatusBranchGrade[[#This Row],[Which]], 1) = "1", StatusBranchGrade[[#This Row],[Key0]], "")</f>
        <v>Full-time Reserve  /  Navy</v>
      </c>
      <c r="M542" s="17" t="str">
        <f>IF(RIGHT(StatusBranchGrade[[#This Row],[Which]], 1) = "2", StatusBranchGrade[[#This Row],[Key]], "")</f>
        <v>Full-time Reserve  /  Navy  /  O-6</v>
      </c>
      <c r="N542" s="17" t="str">
        <f>IF(RIGHT(StatusBranchGrade[[#This Row],[Which]], 1) = "2", StatusBranchGrade[[#This Row],[Key0]], "")</f>
        <v>Full-time Reserve  /  Navy</v>
      </c>
      <c r="O542" s="17" t="s">
        <v>301</v>
      </c>
      <c r="P542" s="17"/>
      <c r="Q542" s="63">
        <f>--ISNUMBER(IF(StatusBranchGrade[[#This Row],[Sponsor0]] = 'Calculation Worksheet'!$AV$6 &amp; "  /  " &amp; 'Calculation Worksheet'!$AV$7, 1, ""))</f>
        <v>0</v>
      </c>
      <c r="R542" s="63" t="str">
        <f>IF(StatusBranchGrade[[#This Row],[S1]] = 1, COUNTIF($Q$3:Q542, 1), "")</f>
        <v/>
      </c>
      <c r="S542" s="63" t="str">
        <f>IFERROR(INDEX(StatusBranchGrade[Rank/Grade], MATCH(ROWS($R$3:R542)-1, StatusBranchGrade[S2], 0)), "") &amp; ""</f>
        <v/>
      </c>
      <c r="T542" s="63">
        <f>--ISNUMBER(IF(StatusBranchGrade[[#This Row],[Spouse0]] = 'Calculation Worksheet'!$CG$6 &amp; "  /  " &amp; 'Calculation Worksheet'!$CG$7, 1, ""))</f>
        <v>0</v>
      </c>
      <c r="U542" s="63" t="str">
        <f>IF(StatusBranchGrade[[#This Row],[T1]] = 1, COUNTIF($T$3:T542, 1), "")</f>
        <v/>
      </c>
      <c r="V542" s="63" t="str">
        <f>IFERROR(INDEX(StatusBranchGrade[Rank/Grade], MATCH(ROWS($U$3:U542)-1, StatusBranchGrade[T2], 0)), "") &amp; ""</f>
        <v/>
      </c>
      <c r="W542" s="63"/>
    </row>
    <row r="543" spans="1:23" x14ac:dyDescent="0.25">
      <c r="A543">
        <v>6</v>
      </c>
      <c r="B543" t="s">
        <v>218</v>
      </c>
      <c r="C543" t="s">
        <v>182</v>
      </c>
      <c r="D543" t="s">
        <v>85</v>
      </c>
      <c r="E543" t="str">
        <f>IF(StatusBranchGrade[[#This Row],[Status]] = "CYS", "DoD", StatusBranchGrade[[#This Row],[Rank]] &amp; "")</f>
        <v>O-7</v>
      </c>
      <c r="F543" t="s">
        <v>85</v>
      </c>
      <c r="G543" t="str">
        <f>IF(StatusBranchGrade[[#This Row],[Rank]] = StatusBranchGrade[[#This Row],[Grade]], StatusBranchGrade[[#This Row],[Rank]], StatusBranchGrade[[#This Row],[Grade]] &amp; "/" &amp; StatusBranchGrade[[#This Row],[Rank]]) &amp; ""</f>
        <v>O-7</v>
      </c>
      <c r="H54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O-7</v>
      </c>
      <c r="I543" s="17" t="str">
        <f>SUBSTITUTE(SUBSTITUTE(SUBSTITUTE(StatusBranchGrade[[#This Row],[Status]] &amp; "  /  " &amp; StatusBranchGrade[[#This Row],[Branch]] &amp; ";", "  /  ;", ";"), "  /  ;", ";"), ";", "")</f>
        <v>Full-time Reserve  /  Navy</v>
      </c>
      <c r="J543">
        <v>12</v>
      </c>
      <c r="K543" s="17" t="str">
        <f>IF(LEFT(StatusBranchGrade[[#This Row],[Which]], 1) = "1", StatusBranchGrade[[#This Row],[Key]], "")</f>
        <v>Full-time Reserve  /  Navy  /  O-7</v>
      </c>
      <c r="L543" s="17" t="str">
        <f>IF(LEFT(StatusBranchGrade[[#This Row],[Which]], 1) = "1", StatusBranchGrade[[#This Row],[Key0]], "")</f>
        <v>Full-time Reserve  /  Navy</v>
      </c>
      <c r="M543" s="17" t="str">
        <f>IF(RIGHT(StatusBranchGrade[[#This Row],[Which]], 1) = "2", StatusBranchGrade[[#This Row],[Key]], "")</f>
        <v>Full-time Reserve  /  Navy  /  O-7</v>
      </c>
      <c r="N543" s="17" t="str">
        <f>IF(RIGHT(StatusBranchGrade[[#This Row],[Which]], 1) = "2", StatusBranchGrade[[#This Row],[Key0]], "")</f>
        <v>Full-time Reserve  /  Navy</v>
      </c>
      <c r="O543" s="17" t="s">
        <v>301</v>
      </c>
      <c r="P543" s="17"/>
      <c r="Q543" s="63">
        <f>--ISNUMBER(IF(StatusBranchGrade[[#This Row],[Sponsor0]] = 'Calculation Worksheet'!$AV$6 &amp; "  /  " &amp; 'Calculation Worksheet'!$AV$7, 1, ""))</f>
        <v>0</v>
      </c>
      <c r="R543" s="63" t="str">
        <f>IF(StatusBranchGrade[[#This Row],[S1]] = 1, COUNTIF($Q$3:Q543, 1), "")</f>
        <v/>
      </c>
      <c r="S543" s="63" t="str">
        <f>IFERROR(INDEX(StatusBranchGrade[Rank/Grade], MATCH(ROWS($R$3:R543)-1, StatusBranchGrade[S2], 0)), "") &amp; ""</f>
        <v/>
      </c>
      <c r="T543" s="63">
        <f>--ISNUMBER(IF(StatusBranchGrade[[#This Row],[Spouse0]] = 'Calculation Worksheet'!$CG$6 &amp; "  /  " &amp; 'Calculation Worksheet'!$CG$7, 1, ""))</f>
        <v>0</v>
      </c>
      <c r="U543" s="63" t="str">
        <f>IF(StatusBranchGrade[[#This Row],[T1]] = 1, COUNTIF($T$3:T543, 1), "")</f>
        <v/>
      </c>
      <c r="V543" s="63" t="str">
        <f>IFERROR(INDEX(StatusBranchGrade[Rank/Grade], MATCH(ROWS($U$3:U543)-1, StatusBranchGrade[T2], 0)), "") &amp; ""</f>
        <v/>
      </c>
      <c r="W543" s="63"/>
    </row>
    <row r="544" spans="1:23" x14ac:dyDescent="0.25">
      <c r="A544">
        <v>6</v>
      </c>
      <c r="B544" t="s">
        <v>218</v>
      </c>
      <c r="C544" t="s">
        <v>182</v>
      </c>
      <c r="D544" t="s">
        <v>84</v>
      </c>
      <c r="E544" t="str">
        <f>IF(StatusBranchGrade[[#This Row],[Status]] = "CYS", "DoD", StatusBranchGrade[[#This Row],[Rank]] &amp; "")</f>
        <v>O-8</v>
      </c>
      <c r="F544" t="s">
        <v>84</v>
      </c>
      <c r="G544" t="str">
        <f>IF(StatusBranchGrade[[#This Row],[Rank]] = StatusBranchGrade[[#This Row],[Grade]], StatusBranchGrade[[#This Row],[Rank]], StatusBranchGrade[[#This Row],[Grade]] &amp; "/" &amp; StatusBranchGrade[[#This Row],[Rank]]) &amp; ""</f>
        <v>O-8</v>
      </c>
      <c r="H54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O-8</v>
      </c>
      <c r="I544" s="17" t="str">
        <f>SUBSTITUTE(SUBSTITUTE(SUBSTITUTE(StatusBranchGrade[[#This Row],[Status]] &amp; "  /  " &amp; StatusBranchGrade[[#This Row],[Branch]] &amp; ";", "  /  ;", ";"), "  /  ;", ";"), ";", "")</f>
        <v>Full-time Reserve  /  Navy</v>
      </c>
      <c r="J544">
        <v>12</v>
      </c>
      <c r="K544" s="17" t="str">
        <f>IF(LEFT(StatusBranchGrade[[#This Row],[Which]], 1) = "1", StatusBranchGrade[[#This Row],[Key]], "")</f>
        <v>Full-time Reserve  /  Navy  /  O-8</v>
      </c>
      <c r="L544" s="17" t="str">
        <f>IF(LEFT(StatusBranchGrade[[#This Row],[Which]], 1) = "1", StatusBranchGrade[[#This Row],[Key0]], "")</f>
        <v>Full-time Reserve  /  Navy</v>
      </c>
      <c r="M544" s="17" t="str">
        <f>IF(RIGHT(StatusBranchGrade[[#This Row],[Which]], 1) = "2", StatusBranchGrade[[#This Row],[Key]], "")</f>
        <v>Full-time Reserve  /  Navy  /  O-8</v>
      </c>
      <c r="N544" s="17" t="str">
        <f>IF(RIGHT(StatusBranchGrade[[#This Row],[Which]], 1) = "2", StatusBranchGrade[[#This Row],[Key0]], "")</f>
        <v>Full-time Reserve  /  Navy</v>
      </c>
      <c r="O544" s="17" t="s">
        <v>301</v>
      </c>
      <c r="P544" s="17"/>
      <c r="Q544" s="63">
        <f>--ISNUMBER(IF(StatusBranchGrade[[#This Row],[Sponsor0]] = 'Calculation Worksheet'!$AV$6 &amp; "  /  " &amp; 'Calculation Worksheet'!$AV$7, 1, ""))</f>
        <v>0</v>
      </c>
      <c r="R544" s="63" t="str">
        <f>IF(StatusBranchGrade[[#This Row],[S1]] = 1, COUNTIF($Q$3:Q544, 1), "")</f>
        <v/>
      </c>
      <c r="S544" s="63" t="str">
        <f>IFERROR(INDEX(StatusBranchGrade[Rank/Grade], MATCH(ROWS($R$3:R544)-1, StatusBranchGrade[S2], 0)), "") &amp; ""</f>
        <v/>
      </c>
      <c r="T544" s="63">
        <f>--ISNUMBER(IF(StatusBranchGrade[[#This Row],[Spouse0]] = 'Calculation Worksheet'!$CG$6 &amp; "  /  " &amp; 'Calculation Worksheet'!$CG$7, 1, ""))</f>
        <v>0</v>
      </c>
      <c r="U544" s="63" t="str">
        <f>IF(StatusBranchGrade[[#This Row],[T1]] = 1, COUNTIF($T$3:T544, 1), "")</f>
        <v/>
      </c>
      <c r="V544" s="63" t="str">
        <f>IFERROR(INDEX(StatusBranchGrade[Rank/Grade], MATCH(ROWS($U$3:U544)-1, StatusBranchGrade[T2], 0)), "") &amp; ""</f>
        <v/>
      </c>
      <c r="W544" s="63"/>
    </row>
    <row r="545" spans="1:23" x14ac:dyDescent="0.25">
      <c r="A545">
        <v>6</v>
      </c>
      <c r="B545" t="s">
        <v>218</v>
      </c>
      <c r="C545" t="s">
        <v>182</v>
      </c>
      <c r="D545" t="s">
        <v>83</v>
      </c>
      <c r="E545" t="str">
        <f>IF(StatusBranchGrade[[#This Row],[Status]] = "CYS", "DoD", StatusBranchGrade[[#This Row],[Rank]] &amp; "")</f>
        <v>O-9</v>
      </c>
      <c r="F545" t="s">
        <v>83</v>
      </c>
      <c r="G545" t="str">
        <f>IF(StatusBranchGrade[[#This Row],[Rank]] = StatusBranchGrade[[#This Row],[Grade]], StatusBranchGrade[[#This Row],[Rank]], StatusBranchGrade[[#This Row],[Grade]] &amp; "/" &amp; StatusBranchGrade[[#This Row],[Rank]]) &amp; ""</f>
        <v>O-9</v>
      </c>
      <c r="H54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O-9</v>
      </c>
      <c r="I545" s="17" t="str">
        <f>SUBSTITUTE(SUBSTITUTE(SUBSTITUTE(StatusBranchGrade[[#This Row],[Status]] &amp; "  /  " &amp; StatusBranchGrade[[#This Row],[Branch]] &amp; ";", "  /  ;", ";"), "  /  ;", ";"), ";", "")</f>
        <v>Full-time Reserve  /  Navy</v>
      </c>
      <c r="J545">
        <v>12</v>
      </c>
      <c r="K545" s="17" t="str">
        <f>IF(LEFT(StatusBranchGrade[[#This Row],[Which]], 1) = "1", StatusBranchGrade[[#This Row],[Key]], "")</f>
        <v>Full-time Reserve  /  Navy  /  O-9</v>
      </c>
      <c r="L545" s="17" t="str">
        <f>IF(LEFT(StatusBranchGrade[[#This Row],[Which]], 1) = "1", StatusBranchGrade[[#This Row],[Key0]], "")</f>
        <v>Full-time Reserve  /  Navy</v>
      </c>
      <c r="M545" s="17" t="str">
        <f>IF(RIGHT(StatusBranchGrade[[#This Row],[Which]], 1) = "2", StatusBranchGrade[[#This Row],[Key]], "")</f>
        <v>Full-time Reserve  /  Navy  /  O-9</v>
      </c>
      <c r="N545" s="17" t="str">
        <f>IF(RIGHT(StatusBranchGrade[[#This Row],[Which]], 1) = "2", StatusBranchGrade[[#This Row],[Key0]], "")</f>
        <v>Full-time Reserve  /  Navy</v>
      </c>
      <c r="O545" s="17" t="s">
        <v>301</v>
      </c>
      <c r="P545" s="17"/>
      <c r="Q545" s="63">
        <f>--ISNUMBER(IF(StatusBranchGrade[[#This Row],[Sponsor0]] = 'Calculation Worksheet'!$AV$6 &amp; "  /  " &amp; 'Calculation Worksheet'!$AV$7, 1, ""))</f>
        <v>0</v>
      </c>
      <c r="R545" s="63" t="str">
        <f>IF(StatusBranchGrade[[#This Row],[S1]] = 1, COUNTIF($Q$3:Q545, 1), "")</f>
        <v/>
      </c>
      <c r="S545" s="63" t="str">
        <f>IFERROR(INDEX(StatusBranchGrade[Rank/Grade], MATCH(ROWS($R$3:R545)-1, StatusBranchGrade[S2], 0)), "") &amp; ""</f>
        <v/>
      </c>
      <c r="T545" s="63">
        <f>--ISNUMBER(IF(StatusBranchGrade[[#This Row],[Spouse0]] = 'Calculation Worksheet'!$CG$6 &amp; "  /  " &amp; 'Calculation Worksheet'!$CG$7, 1, ""))</f>
        <v>0</v>
      </c>
      <c r="U545" s="63" t="str">
        <f>IF(StatusBranchGrade[[#This Row],[T1]] = 1, COUNTIF($T$3:T545, 1), "")</f>
        <v/>
      </c>
      <c r="V545" s="63" t="str">
        <f>IFERROR(INDEX(StatusBranchGrade[Rank/Grade], MATCH(ROWS($U$3:U545)-1, StatusBranchGrade[T2], 0)), "") &amp; ""</f>
        <v/>
      </c>
      <c r="W545" s="63"/>
    </row>
    <row r="546" spans="1:23" x14ac:dyDescent="0.25">
      <c r="A546">
        <v>6</v>
      </c>
      <c r="B546" t="s">
        <v>218</v>
      </c>
      <c r="C546" t="s">
        <v>182</v>
      </c>
      <c r="D546" t="s">
        <v>96</v>
      </c>
      <c r="E546" t="str">
        <f>IF(StatusBranchGrade[[#This Row],[Status]] = "CYS", "DoD", StatusBranchGrade[[#This Row],[Rank]] &amp; "")</f>
        <v>W-1</v>
      </c>
      <c r="F546" t="s">
        <v>96</v>
      </c>
      <c r="G546" t="str">
        <f>IF(StatusBranchGrade[[#This Row],[Rank]] = StatusBranchGrade[[#This Row],[Grade]], StatusBranchGrade[[#This Row],[Rank]], StatusBranchGrade[[#This Row],[Grade]] &amp; "/" &amp; StatusBranchGrade[[#This Row],[Rank]]) &amp; ""</f>
        <v>W-1</v>
      </c>
      <c r="H54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W-1</v>
      </c>
      <c r="I546" s="17" t="str">
        <f>SUBSTITUTE(SUBSTITUTE(SUBSTITUTE(StatusBranchGrade[[#This Row],[Status]] &amp; "  /  " &amp; StatusBranchGrade[[#This Row],[Branch]] &amp; ";", "  /  ;", ";"), "  /  ;", ";"), ";", "")</f>
        <v>Full-time Reserve  /  Navy</v>
      </c>
      <c r="J546">
        <v>12</v>
      </c>
      <c r="K546" s="17" t="str">
        <f>IF(LEFT(StatusBranchGrade[[#This Row],[Which]], 1) = "1", StatusBranchGrade[[#This Row],[Key]], "")</f>
        <v>Full-time Reserve  /  Navy  /  W-1</v>
      </c>
      <c r="L546" s="17" t="str">
        <f>IF(LEFT(StatusBranchGrade[[#This Row],[Which]], 1) = "1", StatusBranchGrade[[#This Row],[Key0]], "")</f>
        <v>Full-time Reserve  /  Navy</v>
      </c>
      <c r="M546" s="17" t="str">
        <f>IF(RIGHT(StatusBranchGrade[[#This Row],[Which]], 1) = "2", StatusBranchGrade[[#This Row],[Key]], "")</f>
        <v>Full-time Reserve  /  Navy  /  W-1</v>
      </c>
      <c r="N546" s="17" t="str">
        <f>IF(RIGHT(StatusBranchGrade[[#This Row],[Which]], 1) = "2", StatusBranchGrade[[#This Row],[Key0]], "")</f>
        <v>Full-time Reserve  /  Navy</v>
      </c>
      <c r="O546" s="17" t="s">
        <v>301</v>
      </c>
      <c r="P546" s="17"/>
      <c r="Q546" s="63">
        <f>--ISNUMBER(IF(StatusBranchGrade[[#This Row],[Sponsor0]] = 'Calculation Worksheet'!$AV$6 &amp; "  /  " &amp; 'Calculation Worksheet'!$AV$7, 1, ""))</f>
        <v>0</v>
      </c>
      <c r="R546" s="63" t="str">
        <f>IF(StatusBranchGrade[[#This Row],[S1]] = 1, COUNTIF($Q$3:Q546, 1), "")</f>
        <v/>
      </c>
      <c r="S546" s="63" t="str">
        <f>IFERROR(INDEX(StatusBranchGrade[Rank/Grade], MATCH(ROWS($R$3:R546)-1, StatusBranchGrade[S2], 0)), "") &amp; ""</f>
        <v/>
      </c>
      <c r="T546" s="63">
        <f>--ISNUMBER(IF(StatusBranchGrade[[#This Row],[Spouse0]] = 'Calculation Worksheet'!$CG$6 &amp; "  /  " &amp; 'Calculation Worksheet'!$CG$7, 1, ""))</f>
        <v>0</v>
      </c>
      <c r="U546" s="63" t="str">
        <f>IF(StatusBranchGrade[[#This Row],[T1]] = 1, COUNTIF($T$3:T546, 1), "")</f>
        <v/>
      </c>
      <c r="V546" s="63" t="str">
        <f>IFERROR(INDEX(StatusBranchGrade[Rank/Grade], MATCH(ROWS($U$3:U546)-1, StatusBranchGrade[T2], 0)), "") &amp; ""</f>
        <v/>
      </c>
      <c r="W546" s="63"/>
    </row>
    <row r="547" spans="1:23" x14ac:dyDescent="0.25">
      <c r="A547">
        <v>6</v>
      </c>
      <c r="B547" t="s">
        <v>218</v>
      </c>
      <c r="C547" t="s">
        <v>182</v>
      </c>
      <c r="D547" t="s">
        <v>95</v>
      </c>
      <c r="E547" t="str">
        <f>IF(StatusBranchGrade[[#This Row],[Status]] = "CYS", "DoD", StatusBranchGrade[[#This Row],[Rank]] &amp; "")</f>
        <v>W-2</v>
      </c>
      <c r="F547" t="s">
        <v>95</v>
      </c>
      <c r="G547" t="str">
        <f>IF(StatusBranchGrade[[#This Row],[Rank]] = StatusBranchGrade[[#This Row],[Grade]], StatusBranchGrade[[#This Row],[Rank]], StatusBranchGrade[[#This Row],[Grade]] &amp; "/" &amp; StatusBranchGrade[[#This Row],[Rank]]) &amp; ""</f>
        <v>W-2</v>
      </c>
      <c r="H54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W-2</v>
      </c>
      <c r="I547" s="17" t="str">
        <f>SUBSTITUTE(SUBSTITUTE(SUBSTITUTE(StatusBranchGrade[[#This Row],[Status]] &amp; "  /  " &amp; StatusBranchGrade[[#This Row],[Branch]] &amp; ";", "  /  ;", ";"), "  /  ;", ";"), ";", "")</f>
        <v>Full-time Reserve  /  Navy</v>
      </c>
      <c r="J547">
        <v>12</v>
      </c>
      <c r="K547" s="17" t="str">
        <f>IF(LEFT(StatusBranchGrade[[#This Row],[Which]], 1) = "1", StatusBranchGrade[[#This Row],[Key]], "")</f>
        <v>Full-time Reserve  /  Navy  /  W-2</v>
      </c>
      <c r="L547" s="17" t="str">
        <f>IF(LEFT(StatusBranchGrade[[#This Row],[Which]], 1) = "1", StatusBranchGrade[[#This Row],[Key0]], "")</f>
        <v>Full-time Reserve  /  Navy</v>
      </c>
      <c r="M547" s="17" t="str">
        <f>IF(RIGHT(StatusBranchGrade[[#This Row],[Which]], 1) = "2", StatusBranchGrade[[#This Row],[Key]], "")</f>
        <v>Full-time Reserve  /  Navy  /  W-2</v>
      </c>
      <c r="N547" s="17" t="str">
        <f>IF(RIGHT(StatusBranchGrade[[#This Row],[Which]], 1) = "2", StatusBranchGrade[[#This Row],[Key0]], "")</f>
        <v>Full-time Reserve  /  Navy</v>
      </c>
      <c r="O547" s="17" t="s">
        <v>301</v>
      </c>
      <c r="P547" s="17"/>
      <c r="Q547" s="63">
        <f>--ISNUMBER(IF(StatusBranchGrade[[#This Row],[Sponsor0]] = 'Calculation Worksheet'!$AV$6 &amp; "  /  " &amp; 'Calculation Worksheet'!$AV$7, 1, ""))</f>
        <v>0</v>
      </c>
      <c r="R547" s="63" t="str">
        <f>IF(StatusBranchGrade[[#This Row],[S1]] = 1, COUNTIF($Q$3:Q547, 1), "")</f>
        <v/>
      </c>
      <c r="S547" s="63" t="str">
        <f>IFERROR(INDEX(StatusBranchGrade[Rank/Grade], MATCH(ROWS($R$3:R547)-1, StatusBranchGrade[S2], 0)), "") &amp; ""</f>
        <v/>
      </c>
      <c r="T547" s="63">
        <f>--ISNUMBER(IF(StatusBranchGrade[[#This Row],[Spouse0]] = 'Calculation Worksheet'!$CG$6 &amp; "  /  " &amp; 'Calculation Worksheet'!$CG$7, 1, ""))</f>
        <v>0</v>
      </c>
      <c r="U547" s="63" t="str">
        <f>IF(StatusBranchGrade[[#This Row],[T1]] = 1, COUNTIF($T$3:T547, 1), "")</f>
        <v/>
      </c>
      <c r="V547" s="63" t="str">
        <f>IFERROR(INDEX(StatusBranchGrade[Rank/Grade], MATCH(ROWS($U$3:U547)-1, StatusBranchGrade[T2], 0)), "") &amp; ""</f>
        <v/>
      </c>
      <c r="W547" s="63"/>
    </row>
    <row r="548" spans="1:23" x14ac:dyDescent="0.25">
      <c r="A548">
        <v>6</v>
      </c>
      <c r="B548" t="s">
        <v>218</v>
      </c>
      <c r="C548" t="s">
        <v>182</v>
      </c>
      <c r="D548" t="s">
        <v>94</v>
      </c>
      <c r="E548" t="str">
        <f>IF(StatusBranchGrade[[#This Row],[Status]] = "CYS", "DoD", StatusBranchGrade[[#This Row],[Rank]] &amp; "")</f>
        <v>W-3</v>
      </c>
      <c r="F548" t="s">
        <v>94</v>
      </c>
      <c r="G548" t="str">
        <f>IF(StatusBranchGrade[[#This Row],[Rank]] = StatusBranchGrade[[#This Row],[Grade]], StatusBranchGrade[[#This Row],[Rank]], StatusBranchGrade[[#This Row],[Grade]] &amp; "/" &amp; StatusBranchGrade[[#This Row],[Rank]]) &amp; ""</f>
        <v>W-3</v>
      </c>
      <c r="H54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W-3</v>
      </c>
      <c r="I548" s="17" t="str">
        <f>SUBSTITUTE(SUBSTITUTE(SUBSTITUTE(StatusBranchGrade[[#This Row],[Status]] &amp; "  /  " &amp; StatusBranchGrade[[#This Row],[Branch]] &amp; ";", "  /  ;", ";"), "  /  ;", ";"), ";", "")</f>
        <v>Full-time Reserve  /  Navy</v>
      </c>
      <c r="J548">
        <v>12</v>
      </c>
      <c r="K548" s="17" t="str">
        <f>IF(LEFT(StatusBranchGrade[[#This Row],[Which]], 1) = "1", StatusBranchGrade[[#This Row],[Key]], "")</f>
        <v>Full-time Reserve  /  Navy  /  W-3</v>
      </c>
      <c r="L548" s="17" t="str">
        <f>IF(LEFT(StatusBranchGrade[[#This Row],[Which]], 1) = "1", StatusBranchGrade[[#This Row],[Key0]], "")</f>
        <v>Full-time Reserve  /  Navy</v>
      </c>
      <c r="M548" s="17" t="str">
        <f>IF(RIGHT(StatusBranchGrade[[#This Row],[Which]], 1) = "2", StatusBranchGrade[[#This Row],[Key]], "")</f>
        <v>Full-time Reserve  /  Navy  /  W-3</v>
      </c>
      <c r="N548" s="17" t="str">
        <f>IF(RIGHT(StatusBranchGrade[[#This Row],[Which]], 1) = "2", StatusBranchGrade[[#This Row],[Key0]], "")</f>
        <v>Full-time Reserve  /  Navy</v>
      </c>
      <c r="O548" s="17" t="s">
        <v>301</v>
      </c>
      <c r="P548" s="17"/>
      <c r="Q548" s="63">
        <f>--ISNUMBER(IF(StatusBranchGrade[[#This Row],[Sponsor0]] = 'Calculation Worksheet'!$AV$6 &amp; "  /  " &amp; 'Calculation Worksheet'!$AV$7, 1, ""))</f>
        <v>0</v>
      </c>
      <c r="R548" s="63" t="str">
        <f>IF(StatusBranchGrade[[#This Row],[S1]] = 1, COUNTIF($Q$3:Q548, 1), "")</f>
        <v/>
      </c>
      <c r="S548" s="63" t="str">
        <f>IFERROR(INDEX(StatusBranchGrade[Rank/Grade], MATCH(ROWS($R$3:R548)-1, StatusBranchGrade[S2], 0)), "") &amp; ""</f>
        <v/>
      </c>
      <c r="T548" s="63">
        <f>--ISNUMBER(IF(StatusBranchGrade[[#This Row],[Spouse0]] = 'Calculation Worksheet'!$CG$6 &amp; "  /  " &amp; 'Calculation Worksheet'!$CG$7, 1, ""))</f>
        <v>0</v>
      </c>
      <c r="U548" s="63" t="str">
        <f>IF(StatusBranchGrade[[#This Row],[T1]] = 1, COUNTIF($T$3:T548, 1), "")</f>
        <v/>
      </c>
      <c r="V548" s="63" t="str">
        <f>IFERROR(INDEX(StatusBranchGrade[Rank/Grade], MATCH(ROWS($U$3:U548)-1, StatusBranchGrade[T2], 0)), "") &amp; ""</f>
        <v/>
      </c>
      <c r="W548" s="63"/>
    </row>
    <row r="549" spans="1:23" x14ac:dyDescent="0.25">
      <c r="A549">
        <v>6</v>
      </c>
      <c r="B549" t="s">
        <v>218</v>
      </c>
      <c r="C549" t="s">
        <v>182</v>
      </c>
      <c r="D549" t="s">
        <v>93</v>
      </c>
      <c r="E549" t="str">
        <f>IF(StatusBranchGrade[[#This Row],[Status]] = "CYS", "DoD", StatusBranchGrade[[#This Row],[Rank]] &amp; "")</f>
        <v>W-4</v>
      </c>
      <c r="F549" t="s">
        <v>93</v>
      </c>
      <c r="G549" t="str">
        <f>IF(StatusBranchGrade[[#This Row],[Rank]] = StatusBranchGrade[[#This Row],[Grade]], StatusBranchGrade[[#This Row],[Rank]], StatusBranchGrade[[#This Row],[Grade]] &amp; "/" &amp; StatusBranchGrade[[#This Row],[Rank]]) &amp; ""</f>
        <v>W-4</v>
      </c>
      <c r="H54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Full-time Reserve  /  Navy  /  W-4</v>
      </c>
      <c r="I549" s="17" t="str">
        <f>SUBSTITUTE(SUBSTITUTE(SUBSTITUTE(StatusBranchGrade[[#This Row],[Status]] &amp; "  /  " &amp; StatusBranchGrade[[#This Row],[Branch]] &amp; ";", "  /  ;", ";"), "  /  ;", ";"), ";", "")</f>
        <v>Full-time Reserve  /  Navy</v>
      </c>
      <c r="J549">
        <v>12</v>
      </c>
      <c r="K549" s="17" t="str">
        <f>IF(LEFT(StatusBranchGrade[[#This Row],[Which]], 1) = "1", StatusBranchGrade[[#This Row],[Key]], "")</f>
        <v>Full-time Reserve  /  Navy  /  W-4</v>
      </c>
      <c r="L549" s="17" t="str">
        <f>IF(LEFT(StatusBranchGrade[[#This Row],[Which]], 1) = "1", StatusBranchGrade[[#This Row],[Key0]], "")</f>
        <v>Full-time Reserve  /  Navy</v>
      </c>
      <c r="M549" s="17" t="str">
        <f>IF(RIGHT(StatusBranchGrade[[#This Row],[Which]], 1) = "2", StatusBranchGrade[[#This Row],[Key]], "")</f>
        <v>Full-time Reserve  /  Navy  /  W-4</v>
      </c>
      <c r="N549" s="17" t="str">
        <f>IF(RIGHT(StatusBranchGrade[[#This Row],[Which]], 1) = "2", StatusBranchGrade[[#This Row],[Key0]], "")</f>
        <v>Full-time Reserve  /  Navy</v>
      </c>
      <c r="O549" s="17" t="s">
        <v>301</v>
      </c>
      <c r="P549" s="17"/>
      <c r="Q549" s="63">
        <f>--ISNUMBER(IF(StatusBranchGrade[[#This Row],[Sponsor0]] = 'Calculation Worksheet'!$AV$6 &amp; "  /  " &amp; 'Calculation Worksheet'!$AV$7, 1, ""))</f>
        <v>0</v>
      </c>
      <c r="R549" s="63" t="str">
        <f>IF(StatusBranchGrade[[#This Row],[S1]] = 1, COUNTIF($Q$3:Q549, 1), "")</f>
        <v/>
      </c>
      <c r="S549" s="63" t="str">
        <f>IFERROR(INDEX(StatusBranchGrade[Rank/Grade], MATCH(ROWS($R$3:R549)-1, StatusBranchGrade[S2], 0)), "") &amp; ""</f>
        <v/>
      </c>
      <c r="T549" s="63">
        <f>--ISNUMBER(IF(StatusBranchGrade[[#This Row],[Spouse0]] = 'Calculation Worksheet'!$CG$6 &amp; "  /  " &amp; 'Calculation Worksheet'!$CG$7, 1, ""))</f>
        <v>0</v>
      </c>
      <c r="U549" s="63" t="str">
        <f>IF(StatusBranchGrade[[#This Row],[T1]] = 1, COUNTIF($T$3:T549, 1), "")</f>
        <v/>
      </c>
      <c r="V549" s="63" t="str">
        <f>IFERROR(INDEX(StatusBranchGrade[Rank/Grade], MATCH(ROWS($U$3:U549)-1, StatusBranchGrade[T2], 0)), "") &amp; ""</f>
        <v/>
      </c>
      <c r="W549" s="63"/>
    </row>
    <row r="550" spans="1:23" x14ac:dyDescent="0.25">
      <c r="A550">
        <v>7</v>
      </c>
      <c r="B550" t="s">
        <v>20</v>
      </c>
      <c r="C550" t="s">
        <v>183</v>
      </c>
      <c r="E550" t="str">
        <f>IF(StatusBranchGrade[[#This Row],[Status]] = "CYS", "DoD", StatusBranchGrade[[#This Row],[Rank]] &amp; "")</f>
        <v/>
      </c>
      <c r="G550" t="str">
        <f>IF(StatusBranchGrade[[#This Row],[Rank]] = StatusBranchGrade[[#This Row],[Grade]], StatusBranchGrade[[#This Row],[Rank]], StatusBranchGrade[[#This Row],[Grade]] &amp; "/" &amp; StatusBranchGrade[[#This Row],[Rank]]) &amp; ""</f>
        <v/>
      </c>
      <c r="H55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Air Force</v>
      </c>
      <c r="I550" s="17" t="str">
        <f>SUBSTITUTE(SUBSTITUTE(SUBSTITUTE(StatusBranchGrade[[#This Row],[Status]] &amp; "  /  " &amp; StatusBranchGrade[[#This Row],[Branch]] &amp; ";", "  /  ;", ";"), "  /  ;", ";"), ";", "")</f>
        <v>DoD Civilian  /  Air Force</v>
      </c>
      <c r="J550">
        <v>12</v>
      </c>
      <c r="K550" s="17" t="str">
        <f>IF(LEFT(StatusBranchGrade[[#This Row],[Which]], 1) = "1", StatusBranchGrade[[#This Row],[Key]], "")</f>
        <v>DoD Civilian  /  Air Force</v>
      </c>
      <c r="L550" s="17" t="str">
        <f>IF(LEFT(StatusBranchGrade[[#This Row],[Which]], 1) = "1", StatusBranchGrade[[#This Row],[Key0]], "")</f>
        <v>DoD Civilian  /  Air Force</v>
      </c>
      <c r="M550" s="17" t="str">
        <f>IF(RIGHT(StatusBranchGrade[[#This Row],[Which]], 1) = "2", StatusBranchGrade[[#This Row],[Key]], "")</f>
        <v>DoD Civilian  /  Air Force</v>
      </c>
      <c r="N550" s="17" t="str">
        <f>IF(RIGHT(StatusBranchGrade[[#This Row],[Which]], 1) = "2", StatusBranchGrade[[#This Row],[Key0]], "")</f>
        <v>DoD Civilian  /  Air Force</v>
      </c>
      <c r="O550" s="17" t="s">
        <v>298</v>
      </c>
      <c r="P550" s="17"/>
      <c r="Q550" s="63">
        <f>--ISNUMBER(IF(StatusBranchGrade[[#This Row],[Sponsor0]] = 'Calculation Worksheet'!$AV$6 &amp; "  /  " &amp; 'Calculation Worksheet'!$AV$7, 1, ""))</f>
        <v>0</v>
      </c>
      <c r="R550" s="63" t="str">
        <f>IF(StatusBranchGrade[[#This Row],[S1]] = 1, COUNTIF($Q$3:Q550, 1), "")</f>
        <v/>
      </c>
      <c r="S550" s="63" t="str">
        <f>IFERROR(INDEX(StatusBranchGrade[Rank/Grade], MATCH(ROWS($R$3:R550)-1, StatusBranchGrade[S2], 0)), "") &amp; ""</f>
        <v/>
      </c>
      <c r="T550" s="63">
        <f>--ISNUMBER(IF(StatusBranchGrade[[#This Row],[Spouse0]] = 'Calculation Worksheet'!$CG$6 &amp; "  /  " &amp; 'Calculation Worksheet'!$CG$7, 1, ""))</f>
        <v>0</v>
      </c>
      <c r="U550" s="63" t="str">
        <f>IF(StatusBranchGrade[[#This Row],[T1]] = 1, COUNTIF($T$3:T550, 1), "")</f>
        <v/>
      </c>
      <c r="V550" s="63" t="str">
        <f>IFERROR(INDEX(StatusBranchGrade[Rank/Grade], MATCH(ROWS($U$3:U550)-1, StatusBranchGrade[T2], 0)), "") &amp; ""</f>
        <v/>
      </c>
      <c r="W550" s="63"/>
    </row>
    <row r="551" spans="1:23" x14ac:dyDescent="0.25">
      <c r="A551">
        <v>7</v>
      </c>
      <c r="B551" t="s">
        <v>20</v>
      </c>
      <c r="C551" t="s">
        <v>180</v>
      </c>
      <c r="E551" t="str">
        <f>IF(StatusBranchGrade[[#This Row],[Status]] = "CYS", "DoD", StatusBranchGrade[[#This Row],[Rank]] &amp; "")</f>
        <v/>
      </c>
      <c r="G551" t="str">
        <f>IF(StatusBranchGrade[[#This Row],[Rank]] = StatusBranchGrade[[#This Row],[Grade]], StatusBranchGrade[[#This Row],[Rank]], StatusBranchGrade[[#This Row],[Grade]] &amp; "/" &amp; StatusBranchGrade[[#This Row],[Rank]]) &amp; ""</f>
        <v/>
      </c>
      <c r="H55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Army</v>
      </c>
      <c r="I551" s="17" t="str">
        <f>SUBSTITUTE(SUBSTITUTE(SUBSTITUTE(StatusBranchGrade[[#This Row],[Status]] &amp; "  /  " &amp; StatusBranchGrade[[#This Row],[Branch]] &amp; ";", "  /  ;", ";"), "  /  ;", ";"), ";", "")</f>
        <v>DoD Civilian  /  Army</v>
      </c>
      <c r="J551">
        <v>12</v>
      </c>
      <c r="K551" s="17" t="str">
        <f>IF(LEFT(StatusBranchGrade[[#This Row],[Which]], 1) = "1", StatusBranchGrade[[#This Row],[Key]], "")</f>
        <v>DoD Civilian  /  Army</v>
      </c>
      <c r="L551" s="17" t="str">
        <f>IF(LEFT(StatusBranchGrade[[#This Row],[Which]], 1) = "1", StatusBranchGrade[[#This Row],[Key0]], "")</f>
        <v>DoD Civilian  /  Army</v>
      </c>
      <c r="M551" s="17" t="str">
        <f>IF(RIGHT(StatusBranchGrade[[#This Row],[Which]], 1) = "2", StatusBranchGrade[[#This Row],[Key]], "")</f>
        <v>DoD Civilian  /  Army</v>
      </c>
      <c r="N551" s="17" t="str">
        <f>IF(RIGHT(StatusBranchGrade[[#This Row],[Which]], 1) = "2", StatusBranchGrade[[#This Row],[Key0]], "")</f>
        <v>DoD Civilian  /  Army</v>
      </c>
      <c r="O551" s="17" t="s">
        <v>298</v>
      </c>
      <c r="P551" s="17"/>
      <c r="Q551" s="63">
        <f>--ISNUMBER(IF(StatusBranchGrade[[#This Row],[Sponsor0]] = 'Calculation Worksheet'!$AV$6 &amp; "  /  " &amp; 'Calculation Worksheet'!$AV$7, 1, ""))</f>
        <v>0</v>
      </c>
      <c r="R551" s="63" t="str">
        <f>IF(StatusBranchGrade[[#This Row],[S1]] = 1, COUNTIF($Q$3:Q551, 1), "")</f>
        <v/>
      </c>
      <c r="S551" s="63" t="str">
        <f>IFERROR(INDEX(StatusBranchGrade[Rank/Grade], MATCH(ROWS($R$3:R551)-1, StatusBranchGrade[S2], 0)), "") &amp; ""</f>
        <v/>
      </c>
      <c r="T551" s="63">
        <f>--ISNUMBER(IF(StatusBranchGrade[[#This Row],[Spouse0]] = 'Calculation Worksheet'!$CG$6 &amp; "  /  " &amp; 'Calculation Worksheet'!$CG$7, 1, ""))</f>
        <v>0</v>
      </c>
      <c r="U551" s="63" t="str">
        <f>IF(StatusBranchGrade[[#This Row],[T1]] = 1, COUNTIF($T$3:T551, 1), "")</f>
        <v/>
      </c>
      <c r="V551" s="63" t="str">
        <f>IFERROR(INDEX(StatusBranchGrade[Rank/Grade], MATCH(ROWS($U$3:U551)-1, StatusBranchGrade[T2], 0)), "") &amp; ""</f>
        <v/>
      </c>
      <c r="W551" s="63"/>
    </row>
    <row r="552" spans="1:23" x14ac:dyDescent="0.25">
      <c r="A552">
        <v>7</v>
      </c>
      <c r="B552" t="s">
        <v>20</v>
      </c>
      <c r="C552" t="s">
        <v>184</v>
      </c>
      <c r="E552" t="str">
        <f>IF(StatusBranchGrade[[#This Row],[Status]] = "CYS", "DoD", StatusBranchGrade[[#This Row],[Rank]] &amp; "")</f>
        <v/>
      </c>
      <c r="G552" t="str">
        <f>IF(StatusBranchGrade[[#This Row],[Rank]] = StatusBranchGrade[[#This Row],[Grade]], StatusBranchGrade[[#This Row],[Rank]], StatusBranchGrade[[#This Row],[Grade]] &amp; "/" &amp; StatusBranchGrade[[#This Row],[Rank]]) &amp; ""</f>
        <v/>
      </c>
      <c r="H55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Coast Guard</v>
      </c>
      <c r="I552" s="17" t="str">
        <f>SUBSTITUTE(SUBSTITUTE(SUBSTITUTE(StatusBranchGrade[[#This Row],[Status]] &amp; "  /  " &amp; StatusBranchGrade[[#This Row],[Branch]] &amp; ";", "  /  ;", ";"), "  /  ;", ";"), ";", "")</f>
        <v>DoD Civilian  /  Coast Guard</v>
      </c>
      <c r="J552">
        <v>12</v>
      </c>
      <c r="K552" s="17" t="str">
        <f>IF(LEFT(StatusBranchGrade[[#This Row],[Which]], 1) = "1", StatusBranchGrade[[#This Row],[Key]], "")</f>
        <v>DoD Civilian  /  Coast Guard</v>
      </c>
      <c r="L552" s="17" t="str">
        <f>IF(LEFT(StatusBranchGrade[[#This Row],[Which]], 1) = "1", StatusBranchGrade[[#This Row],[Key0]], "")</f>
        <v>DoD Civilian  /  Coast Guard</v>
      </c>
      <c r="M552" s="17" t="str">
        <f>IF(RIGHT(StatusBranchGrade[[#This Row],[Which]], 1) = "2", StatusBranchGrade[[#This Row],[Key]], "")</f>
        <v>DoD Civilian  /  Coast Guard</v>
      </c>
      <c r="N552" s="17" t="str">
        <f>IF(RIGHT(StatusBranchGrade[[#This Row],[Which]], 1) = "2", StatusBranchGrade[[#This Row],[Key0]], "")</f>
        <v>DoD Civilian  /  Coast Guard</v>
      </c>
      <c r="O552" s="17" t="s">
        <v>298</v>
      </c>
      <c r="P552" s="17"/>
      <c r="Q552" s="63">
        <f>--ISNUMBER(IF(StatusBranchGrade[[#This Row],[Sponsor0]] = 'Calculation Worksheet'!$AV$6 &amp; "  /  " &amp; 'Calculation Worksheet'!$AV$7, 1, ""))</f>
        <v>0</v>
      </c>
      <c r="R552" s="63" t="str">
        <f>IF(StatusBranchGrade[[#This Row],[S1]] = 1, COUNTIF($Q$3:Q552, 1), "")</f>
        <v/>
      </c>
      <c r="S552" s="63" t="str">
        <f>IFERROR(INDEX(StatusBranchGrade[Rank/Grade], MATCH(ROWS($R$3:R552)-1, StatusBranchGrade[S2], 0)), "") &amp; ""</f>
        <v/>
      </c>
      <c r="T552" s="63">
        <f>--ISNUMBER(IF(StatusBranchGrade[[#This Row],[Spouse0]] = 'Calculation Worksheet'!$CG$6 &amp; "  /  " &amp; 'Calculation Worksheet'!$CG$7, 1, ""))</f>
        <v>0</v>
      </c>
      <c r="U552" s="63" t="str">
        <f>IF(StatusBranchGrade[[#This Row],[T1]] = 1, COUNTIF($T$3:T552, 1), "")</f>
        <v/>
      </c>
      <c r="V552" s="63" t="str">
        <f>IFERROR(INDEX(StatusBranchGrade[Rank/Grade], MATCH(ROWS($U$3:U552)-1, StatusBranchGrade[T2], 0)), "") &amp; ""</f>
        <v/>
      </c>
      <c r="W552" s="63"/>
    </row>
    <row r="553" spans="1:23" x14ac:dyDescent="0.25">
      <c r="A553">
        <v>7</v>
      </c>
      <c r="B553" t="s">
        <v>20</v>
      </c>
      <c r="C553" t="s">
        <v>181</v>
      </c>
      <c r="E553" t="str">
        <f>IF(StatusBranchGrade[[#This Row],[Status]] = "CYS", "DoD", StatusBranchGrade[[#This Row],[Rank]] &amp; "")</f>
        <v/>
      </c>
      <c r="G553" t="str">
        <f>IF(StatusBranchGrade[[#This Row],[Rank]] = StatusBranchGrade[[#This Row],[Grade]], StatusBranchGrade[[#This Row],[Rank]], StatusBranchGrade[[#This Row],[Grade]] &amp; "/" &amp; StatusBranchGrade[[#This Row],[Rank]]) &amp; ""</f>
        <v/>
      </c>
      <c r="H55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Marines</v>
      </c>
      <c r="I553" s="17" t="str">
        <f>SUBSTITUTE(SUBSTITUTE(SUBSTITUTE(StatusBranchGrade[[#This Row],[Status]] &amp; "  /  " &amp; StatusBranchGrade[[#This Row],[Branch]] &amp; ";", "  /  ;", ";"), "  /  ;", ";"), ";", "")</f>
        <v>DoD Civilian  /  Marines</v>
      </c>
      <c r="J553">
        <v>12</v>
      </c>
      <c r="K553" s="17" t="str">
        <f>IF(LEFT(StatusBranchGrade[[#This Row],[Which]], 1) = "1", StatusBranchGrade[[#This Row],[Key]], "")</f>
        <v>DoD Civilian  /  Marines</v>
      </c>
      <c r="L553" s="17" t="str">
        <f>IF(LEFT(StatusBranchGrade[[#This Row],[Which]], 1) = "1", StatusBranchGrade[[#This Row],[Key0]], "")</f>
        <v>DoD Civilian  /  Marines</v>
      </c>
      <c r="M553" s="17" t="str">
        <f>IF(RIGHT(StatusBranchGrade[[#This Row],[Which]], 1) = "2", StatusBranchGrade[[#This Row],[Key]], "")</f>
        <v>DoD Civilian  /  Marines</v>
      </c>
      <c r="N553" s="17" t="str">
        <f>IF(RIGHT(StatusBranchGrade[[#This Row],[Which]], 1) = "2", StatusBranchGrade[[#This Row],[Key0]], "")</f>
        <v>DoD Civilian  /  Marines</v>
      </c>
      <c r="O553" s="17" t="s">
        <v>298</v>
      </c>
      <c r="P553" s="17"/>
      <c r="Q553" s="63">
        <f>--ISNUMBER(IF(StatusBranchGrade[[#This Row],[Sponsor0]] = 'Calculation Worksheet'!$AV$6 &amp; "  /  " &amp; 'Calculation Worksheet'!$AV$7, 1, ""))</f>
        <v>0</v>
      </c>
      <c r="R553" s="63" t="str">
        <f>IF(StatusBranchGrade[[#This Row],[S1]] = 1, COUNTIF($Q$3:Q553, 1), "")</f>
        <v/>
      </c>
      <c r="S553" s="63" t="str">
        <f>IFERROR(INDEX(StatusBranchGrade[Rank/Grade], MATCH(ROWS($R$3:R553)-1, StatusBranchGrade[S2], 0)), "") &amp; ""</f>
        <v/>
      </c>
      <c r="T553" s="63">
        <f>--ISNUMBER(IF(StatusBranchGrade[[#This Row],[Spouse0]] = 'Calculation Worksheet'!$CG$6 &amp; "  /  " &amp; 'Calculation Worksheet'!$CG$7, 1, ""))</f>
        <v>0</v>
      </c>
      <c r="U553" s="63" t="str">
        <f>IF(StatusBranchGrade[[#This Row],[T1]] = 1, COUNTIF($T$3:T553, 1), "")</f>
        <v/>
      </c>
      <c r="V553" s="63" t="str">
        <f>IFERROR(INDEX(StatusBranchGrade[Rank/Grade], MATCH(ROWS($U$3:U553)-1, StatusBranchGrade[T2], 0)), "") &amp; ""</f>
        <v/>
      </c>
      <c r="W553" s="63"/>
    </row>
    <row r="554" spans="1:23" x14ac:dyDescent="0.25">
      <c r="A554">
        <v>7</v>
      </c>
      <c r="B554" t="s">
        <v>20</v>
      </c>
      <c r="C554" t="s">
        <v>182</v>
      </c>
      <c r="E554" t="str">
        <f>IF(StatusBranchGrade[[#This Row],[Status]] = "CYS", "DoD", StatusBranchGrade[[#This Row],[Rank]] &amp; "")</f>
        <v/>
      </c>
      <c r="G554" t="str">
        <f>IF(StatusBranchGrade[[#This Row],[Rank]] = StatusBranchGrade[[#This Row],[Grade]], StatusBranchGrade[[#This Row],[Rank]], StatusBranchGrade[[#This Row],[Grade]] &amp; "/" &amp; StatusBranchGrade[[#This Row],[Rank]]) &amp; ""</f>
        <v/>
      </c>
      <c r="H55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Navy</v>
      </c>
      <c r="I554" s="17" t="str">
        <f>SUBSTITUTE(SUBSTITUTE(SUBSTITUTE(StatusBranchGrade[[#This Row],[Status]] &amp; "  /  " &amp; StatusBranchGrade[[#This Row],[Branch]] &amp; ";", "  /  ;", ";"), "  /  ;", ";"), ";", "")</f>
        <v>DoD Civilian  /  Navy</v>
      </c>
      <c r="J554">
        <v>12</v>
      </c>
      <c r="K554" s="17" t="str">
        <f>IF(LEFT(StatusBranchGrade[[#This Row],[Which]], 1) = "1", StatusBranchGrade[[#This Row],[Key]], "")</f>
        <v>DoD Civilian  /  Navy</v>
      </c>
      <c r="L554" s="17" t="str">
        <f>IF(LEFT(StatusBranchGrade[[#This Row],[Which]], 1) = "1", StatusBranchGrade[[#This Row],[Key0]], "")</f>
        <v>DoD Civilian  /  Navy</v>
      </c>
      <c r="M554" s="17" t="str">
        <f>IF(RIGHT(StatusBranchGrade[[#This Row],[Which]], 1) = "2", StatusBranchGrade[[#This Row],[Key]], "")</f>
        <v>DoD Civilian  /  Navy</v>
      </c>
      <c r="N554" s="17" t="str">
        <f>IF(RIGHT(StatusBranchGrade[[#This Row],[Which]], 1) = "2", StatusBranchGrade[[#This Row],[Key0]], "")</f>
        <v>DoD Civilian  /  Navy</v>
      </c>
      <c r="O554" s="17" t="s">
        <v>298</v>
      </c>
      <c r="P554" s="17"/>
      <c r="Q554" s="63">
        <f>--ISNUMBER(IF(StatusBranchGrade[[#This Row],[Sponsor0]] = 'Calculation Worksheet'!$AV$6 &amp; "  /  " &amp; 'Calculation Worksheet'!$AV$7, 1, ""))</f>
        <v>0</v>
      </c>
      <c r="R554" s="63" t="str">
        <f>IF(StatusBranchGrade[[#This Row],[S1]] = 1, COUNTIF($Q$3:Q554, 1), "")</f>
        <v/>
      </c>
      <c r="S554" s="63" t="str">
        <f>IFERROR(INDEX(StatusBranchGrade[Rank/Grade], MATCH(ROWS($R$3:R554)-1, StatusBranchGrade[S2], 0)), "") &amp; ""</f>
        <v/>
      </c>
      <c r="T554" s="63">
        <f>--ISNUMBER(IF(StatusBranchGrade[[#This Row],[Spouse0]] = 'Calculation Worksheet'!$CG$6 &amp; "  /  " &amp; 'Calculation Worksheet'!$CG$7, 1, ""))</f>
        <v>0</v>
      </c>
      <c r="U554" s="63" t="str">
        <f>IF(StatusBranchGrade[[#This Row],[T1]] = 1, COUNTIF($T$3:T554, 1), "")</f>
        <v/>
      </c>
      <c r="V554" s="63" t="str">
        <f>IFERROR(INDEX(StatusBranchGrade[Rank/Grade], MATCH(ROWS($U$3:U554)-1, StatusBranchGrade[T2], 0)), "") &amp; ""</f>
        <v/>
      </c>
      <c r="W554" s="63"/>
    </row>
    <row r="555" spans="1:23" x14ac:dyDescent="0.25">
      <c r="A555">
        <v>7</v>
      </c>
      <c r="B555" t="s">
        <v>20</v>
      </c>
      <c r="C555" t="s">
        <v>185</v>
      </c>
      <c r="E555" t="str">
        <f>IF(StatusBranchGrade[[#This Row],[Status]] = "CYS", "DoD", StatusBranchGrade[[#This Row],[Rank]] &amp; "")</f>
        <v/>
      </c>
      <c r="G555" t="str">
        <f>IF(StatusBranchGrade[[#This Row],[Rank]] = StatusBranchGrade[[#This Row],[Grade]], StatusBranchGrade[[#This Row],[Rank]], StatusBranchGrade[[#This Row],[Grade]] &amp; "/" &amp; StatusBranchGrade[[#This Row],[Rank]]) &amp; ""</f>
        <v/>
      </c>
      <c r="H55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DoD Civilian  /  Space Force</v>
      </c>
      <c r="I555" s="17" t="str">
        <f>SUBSTITUTE(SUBSTITUTE(SUBSTITUTE(StatusBranchGrade[[#This Row],[Status]] &amp; "  /  " &amp; StatusBranchGrade[[#This Row],[Branch]] &amp; ";", "  /  ;", ";"), "  /  ;", ";"), ";", "")</f>
        <v>DoD Civilian  /  Space Force</v>
      </c>
      <c r="J555">
        <v>12</v>
      </c>
      <c r="K555" s="17" t="str">
        <f>IF(LEFT(StatusBranchGrade[[#This Row],[Which]], 1) = "1", StatusBranchGrade[[#This Row],[Key]], "")</f>
        <v>DoD Civilian  /  Space Force</v>
      </c>
      <c r="L555" s="17" t="str">
        <f>IF(LEFT(StatusBranchGrade[[#This Row],[Which]], 1) = "1", StatusBranchGrade[[#This Row],[Key0]], "")</f>
        <v>DoD Civilian  /  Space Force</v>
      </c>
      <c r="M555" s="17" t="str">
        <f>IF(RIGHT(StatusBranchGrade[[#This Row],[Which]], 1) = "2", StatusBranchGrade[[#This Row],[Key]], "")</f>
        <v>DoD Civilian  /  Space Force</v>
      </c>
      <c r="N555" s="17" t="str">
        <f>IF(RIGHT(StatusBranchGrade[[#This Row],[Which]], 1) = "2", StatusBranchGrade[[#This Row],[Key0]], "")</f>
        <v>DoD Civilian  /  Space Force</v>
      </c>
      <c r="O555" s="17" t="s">
        <v>298</v>
      </c>
      <c r="P555" s="17"/>
      <c r="Q555" s="63">
        <f>--ISNUMBER(IF(StatusBranchGrade[[#This Row],[Sponsor0]] = 'Calculation Worksheet'!$AV$6 &amp; "  /  " &amp; 'Calculation Worksheet'!$AV$7, 1, ""))</f>
        <v>0</v>
      </c>
      <c r="R555" s="63" t="str">
        <f>IF(StatusBranchGrade[[#This Row],[S1]] = 1, COUNTIF($Q$3:Q555, 1), "")</f>
        <v/>
      </c>
      <c r="S555" s="63" t="str">
        <f>IFERROR(INDEX(StatusBranchGrade[Rank/Grade], MATCH(ROWS($R$3:R555)-1, StatusBranchGrade[S2], 0)), "") &amp; ""</f>
        <v/>
      </c>
      <c r="T555" s="63">
        <f>--ISNUMBER(IF(StatusBranchGrade[[#This Row],[Spouse0]] = 'Calculation Worksheet'!$CG$6 &amp; "  /  " &amp; 'Calculation Worksheet'!$CG$7, 1, ""))</f>
        <v>0</v>
      </c>
      <c r="U555" s="63" t="str">
        <f>IF(StatusBranchGrade[[#This Row],[T1]] = 1, COUNTIF($T$3:T555, 1), "")</f>
        <v/>
      </c>
      <c r="V555" s="63" t="str">
        <f>IFERROR(INDEX(StatusBranchGrade[Rank/Grade], MATCH(ROWS($U$3:U555)-1, StatusBranchGrade[T2], 0)), "") &amp; ""</f>
        <v/>
      </c>
      <c r="W555" s="63"/>
    </row>
    <row r="556" spans="1:23" x14ac:dyDescent="0.25">
      <c r="A556">
        <v>8</v>
      </c>
      <c r="B556" t="s">
        <v>220</v>
      </c>
      <c r="E556" t="str">
        <f>IF(StatusBranchGrade[[#This Row],[Status]] = "CYS", "DoD", StatusBranchGrade[[#This Row],[Rank]] &amp; "")</f>
        <v/>
      </c>
      <c r="G556" t="str">
        <f>IF(StatusBranchGrade[[#This Row],[Rank]] = StatusBranchGrade[[#This Row],[Grade]], StatusBranchGrade[[#This Row],[Rank]], StatusBranchGrade[[#This Row],[Grade]] &amp; "/" &amp; StatusBranchGrade[[#This Row],[Rank]]) &amp; ""</f>
        <v/>
      </c>
      <c r="H55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Gold Star Spouse</v>
      </c>
      <c r="I556" s="17" t="str">
        <f>SUBSTITUTE(SUBSTITUTE(SUBSTITUTE(StatusBranchGrade[[#This Row],[Status]] &amp; "  /  " &amp; StatusBranchGrade[[#This Row],[Branch]] &amp; ";", "  /  ;", ";"), "  /  ;", ";"), ";", "")</f>
        <v>Gold Star Spouse</v>
      </c>
      <c r="J556">
        <v>1</v>
      </c>
      <c r="K556" s="17" t="str">
        <f>IF(LEFT(StatusBranchGrade[[#This Row],[Which]], 1) = "1", StatusBranchGrade[[#This Row],[Key]], "")</f>
        <v>Gold Star Spouse</v>
      </c>
      <c r="L556" s="17" t="str">
        <f>IF(LEFT(StatusBranchGrade[[#This Row],[Which]], 1) = "1", StatusBranchGrade[[#This Row],[Key0]], "")</f>
        <v>Gold Star Spouse</v>
      </c>
      <c r="M556" s="17" t="str">
        <f>IF(RIGHT(StatusBranchGrade[[#This Row],[Which]], 1) = "2", StatusBranchGrade[[#This Row],[Key]], "")</f>
        <v/>
      </c>
      <c r="N556" s="17" t="str">
        <f>IF(RIGHT(StatusBranchGrade[[#This Row],[Which]], 1) = "2", StatusBranchGrade[[#This Row],[Key0]], "")</f>
        <v/>
      </c>
      <c r="O556" s="17" t="s">
        <v>300</v>
      </c>
      <c r="P556" s="17"/>
      <c r="Q556" s="63">
        <f>--ISNUMBER(IF(StatusBranchGrade[[#This Row],[Sponsor0]] = 'Calculation Worksheet'!$AV$6 &amp; "  /  " &amp; 'Calculation Worksheet'!$AV$7, 1, ""))</f>
        <v>0</v>
      </c>
      <c r="R556" s="63" t="str">
        <f>IF(StatusBranchGrade[[#This Row],[S1]] = 1, COUNTIF($Q$3:Q556, 1), "")</f>
        <v/>
      </c>
      <c r="S556" s="63" t="str">
        <f>IFERROR(INDEX(StatusBranchGrade[Rank/Grade], MATCH(ROWS($R$3:R556)-1, StatusBranchGrade[S2], 0)), "") &amp; ""</f>
        <v/>
      </c>
      <c r="T556" s="63">
        <f>--ISNUMBER(IF(StatusBranchGrade[[#This Row],[Spouse0]] = 'Calculation Worksheet'!$CG$6 &amp; "  /  " &amp; 'Calculation Worksheet'!$CG$7, 1, ""))</f>
        <v>0</v>
      </c>
      <c r="U556" s="63" t="str">
        <f>IF(StatusBranchGrade[[#This Row],[T1]] = 1, COUNTIF($T$3:T556, 1), "")</f>
        <v/>
      </c>
      <c r="V556" s="63" t="str">
        <f>IFERROR(INDEX(StatusBranchGrade[Rank/Grade], MATCH(ROWS($U$3:U556)-1, StatusBranchGrade[T2], 0)), "") &amp; ""</f>
        <v/>
      </c>
      <c r="W556" s="63"/>
    </row>
    <row r="557" spans="1:23" x14ac:dyDescent="0.25">
      <c r="A557">
        <v>9</v>
      </c>
      <c r="B557" t="s">
        <v>219</v>
      </c>
      <c r="E557" t="str">
        <f>IF(StatusBranchGrade[[#This Row],[Status]] = "CYS", "DoD", StatusBranchGrade[[#This Row],[Rank]] &amp; "")</f>
        <v/>
      </c>
      <c r="G557" t="str">
        <f>IF(StatusBranchGrade[[#This Row],[Rank]] = StatusBranchGrade[[#This Row],[Grade]], StatusBranchGrade[[#This Row],[Rank]], StatusBranchGrade[[#This Row],[Grade]] &amp; "/" &amp; StatusBranchGrade[[#This Row],[Rank]]) &amp; ""</f>
        <v/>
      </c>
      <c r="H55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v>
      </c>
      <c r="I557" s="17" t="str">
        <f>SUBSTITUTE(SUBSTITUTE(SUBSTITUTE(StatusBranchGrade[[#This Row],[Status]] &amp; "  /  " &amp; StatusBranchGrade[[#This Row],[Branch]] &amp; ";", "  /  ;", ";"), "  /  ;", ";"), ";", "")</f>
        <v>Eligible Contractor</v>
      </c>
      <c r="J557">
        <v>12</v>
      </c>
      <c r="K557" s="17" t="str">
        <f>IF(LEFT(StatusBranchGrade[[#This Row],[Which]], 1) = "1", StatusBranchGrade[[#This Row],[Key]], "")</f>
        <v>Eligible Contractor</v>
      </c>
      <c r="L557" s="17" t="str">
        <f>IF(LEFT(StatusBranchGrade[[#This Row],[Which]], 1) = "1", StatusBranchGrade[[#This Row],[Key0]], "")</f>
        <v>Eligible Contractor</v>
      </c>
      <c r="M557" s="17" t="str">
        <f>IF(RIGHT(StatusBranchGrade[[#This Row],[Which]], 1) = "2", StatusBranchGrade[[#This Row],[Key]], "")</f>
        <v>Eligible Contractor</v>
      </c>
      <c r="N557" s="17" t="str">
        <f>IF(RIGHT(StatusBranchGrade[[#This Row],[Which]], 1) = "2", StatusBranchGrade[[#This Row],[Key0]], "")</f>
        <v>Eligible Contractor</v>
      </c>
      <c r="O557" s="17" t="s">
        <v>297</v>
      </c>
      <c r="P557" s="17"/>
      <c r="Q557" s="63">
        <f>--ISNUMBER(IF(StatusBranchGrade[[#This Row],[Sponsor0]] = 'Calculation Worksheet'!$AV$6 &amp; "  /  " &amp; 'Calculation Worksheet'!$AV$7, 1, ""))</f>
        <v>0</v>
      </c>
      <c r="R557" s="63" t="str">
        <f>IF(StatusBranchGrade[[#This Row],[S1]] = 1, COUNTIF($Q$3:Q557, 1), "")</f>
        <v/>
      </c>
      <c r="S557" s="63" t="str">
        <f>IFERROR(INDEX(StatusBranchGrade[Rank/Grade], MATCH(ROWS($R$3:R557)-1, StatusBranchGrade[S2], 0)), "") &amp; ""</f>
        <v/>
      </c>
      <c r="T557" s="63">
        <f>--ISNUMBER(IF(StatusBranchGrade[[#This Row],[Spouse0]] = 'Calculation Worksheet'!$CG$6 &amp; "  /  " &amp; 'Calculation Worksheet'!$CG$7, 1, ""))</f>
        <v>0</v>
      </c>
      <c r="U557" s="63" t="str">
        <f>IF(StatusBranchGrade[[#This Row],[T1]] = 1, COUNTIF($T$3:T557, 1), "")</f>
        <v/>
      </c>
      <c r="V557" s="63" t="str">
        <f>IFERROR(INDEX(StatusBranchGrade[Rank/Grade], MATCH(ROWS($U$3:U557)-1, StatusBranchGrade[T2], 0)), "") &amp; ""</f>
        <v/>
      </c>
      <c r="W557" s="63"/>
    </row>
    <row r="558" spans="1:23" x14ac:dyDescent="0.25">
      <c r="A558">
        <v>10</v>
      </c>
      <c r="B558" t="s">
        <v>340</v>
      </c>
      <c r="E558" t="str">
        <f>IF(StatusBranchGrade[[#This Row],[Status]] = "CYS", "DoD", StatusBranchGrade[[#This Row],[Rank]] &amp; "")</f>
        <v/>
      </c>
      <c r="G558" t="str">
        <f>IF(StatusBranchGrade[[#This Row],[Rank]] = StatusBranchGrade[[#This Row],[Grade]], StatusBranchGrade[[#This Row],[Rank]], StatusBranchGrade[[#This Row],[Grade]] &amp; "/" &amp; StatusBranchGrade[[#This Row],[Rank]]) &amp; ""</f>
        <v/>
      </c>
      <c r="H55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Federal Civilian (USPS, VA, etc.)</v>
      </c>
      <c r="I558" s="17" t="str">
        <f>SUBSTITUTE(SUBSTITUTE(SUBSTITUTE(StatusBranchGrade[[#This Row],[Status]] &amp; "  /  " &amp; StatusBranchGrade[[#This Row],[Branch]] &amp; ";", "  /  ;", ";"), "  /  ;", ";"), ";", "")</f>
        <v>Federal Civilian (USPS, VA, etc.)</v>
      </c>
      <c r="J558">
        <v>12</v>
      </c>
      <c r="K558" s="17" t="str">
        <f>IF(LEFT(StatusBranchGrade[[#This Row],[Which]], 1) = "1", StatusBranchGrade[[#This Row],[Key]], "")</f>
        <v>Federal Civilian (USPS, VA, etc.)</v>
      </c>
      <c r="L558" s="17" t="str">
        <f>IF(LEFT(StatusBranchGrade[[#This Row],[Which]], 1) = "1", StatusBranchGrade[[#This Row],[Key0]], "")</f>
        <v>Federal Civilian (USPS, VA, etc.)</v>
      </c>
      <c r="M558" s="17" t="str">
        <f>IF(RIGHT(StatusBranchGrade[[#This Row],[Which]], 1) = "2", StatusBranchGrade[[#This Row],[Key]], "")</f>
        <v>Federal Civilian (USPS, VA, etc.)</v>
      </c>
      <c r="N558" s="17" t="str">
        <f>IF(RIGHT(StatusBranchGrade[[#This Row],[Which]], 1) = "2", StatusBranchGrade[[#This Row],[Key0]], "")</f>
        <v>Federal Civilian (USPS, VA, etc.)</v>
      </c>
      <c r="O558" s="17" t="s">
        <v>6</v>
      </c>
      <c r="P558" s="17"/>
      <c r="Q558" s="63">
        <f>--ISNUMBER(IF(StatusBranchGrade[[#This Row],[Sponsor0]] = 'Calculation Worksheet'!$AV$6 &amp; "  /  " &amp; 'Calculation Worksheet'!$AV$7, 1, ""))</f>
        <v>0</v>
      </c>
      <c r="R558" s="63" t="str">
        <f>IF(StatusBranchGrade[[#This Row],[S1]] = 1, COUNTIF($Q$3:Q558, 1), "")</f>
        <v/>
      </c>
      <c r="S558" s="63" t="str">
        <f>IFERROR(INDEX(StatusBranchGrade[Rank/Grade], MATCH(ROWS($R$3:R558)-1, StatusBranchGrade[S2], 0)), "") &amp; ""</f>
        <v/>
      </c>
      <c r="T558" s="63">
        <f>--ISNUMBER(IF(StatusBranchGrade[[#This Row],[Spouse0]] = 'Calculation Worksheet'!$CG$6 &amp; "  /  " &amp; 'Calculation Worksheet'!$CG$7, 1, ""))</f>
        <v>0</v>
      </c>
      <c r="U558" s="63" t="str">
        <f>IF(StatusBranchGrade[[#This Row],[T1]] = 1, COUNTIF($T$3:T558, 1), "")</f>
        <v/>
      </c>
      <c r="V558" s="63" t="str">
        <f>IFERROR(INDEX(StatusBranchGrade[Rank/Grade], MATCH(ROWS($U$3:U558)-1, StatusBranchGrade[T2], 0)), "") &amp; ""</f>
        <v/>
      </c>
      <c r="W558" s="63"/>
    </row>
    <row r="559" spans="1:23" x14ac:dyDescent="0.25">
      <c r="A559">
        <v>11</v>
      </c>
      <c r="B559" t="s">
        <v>217</v>
      </c>
      <c r="E559" t="str">
        <f>IF(StatusBranchGrade[[#This Row],[Status]] = "CYS", "DoD", StatusBranchGrade[[#This Row],[Rank]] &amp; "")</f>
        <v/>
      </c>
      <c r="G559" t="str">
        <f>IF(StatusBranchGrade[[#This Row],[Rank]] = StatusBranchGrade[[#This Row],[Grade]], StatusBranchGrade[[#This Row],[Rank]], StatusBranchGrade[[#This Row],[Grade]] &amp; "/" &amp; StatusBranchGrade[[#This Row],[Rank]]) &amp; ""</f>
        <v/>
      </c>
      <c r="H55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Other Civilian</v>
      </c>
      <c r="I559" s="17" t="str">
        <f>SUBSTITUTE(SUBSTITUTE(SUBSTITUTE(StatusBranchGrade[[#This Row],[Status]] &amp; "  /  " &amp; StatusBranchGrade[[#This Row],[Branch]] &amp; ";", "  /  ;", ";"), "  /  ;", ";"), ";", "")</f>
        <v>Other Civilian</v>
      </c>
      <c r="J559">
        <v>2</v>
      </c>
      <c r="K559" s="17" t="str">
        <f>IF(LEFT(StatusBranchGrade[[#This Row],[Which]], 1) = "1", StatusBranchGrade[[#This Row],[Key]], "")</f>
        <v/>
      </c>
      <c r="L559" s="17" t="str">
        <f>IF(LEFT(StatusBranchGrade[[#This Row],[Which]], 1) = "1", StatusBranchGrade[[#This Row],[Key0]], "")</f>
        <v/>
      </c>
      <c r="M559" s="17" t="str">
        <f>IF(RIGHT(StatusBranchGrade[[#This Row],[Which]], 1) = "2", StatusBranchGrade[[#This Row],[Key]], "")</f>
        <v>Other Civilian</v>
      </c>
      <c r="N559" s="17" t="str">
        <f>IF(RIGHT(StatusBranchGrade[[#This Row],[Which]], 1) = "2", StatusBranchGrade[[#This Row],[Key0]], "")</f>
        <v>Other Civilian</v>
      </c>
      <c r="O559" s="74" t="s">
        <v>302</v>
      </c>
      <c r="P559" s="17"/>
      <c r="Q559" s="63">
        <f>--ISNUMBER(IF(StatusBranchGrade[[#This Row],[Sponsor0]] = 'Calculation Worksheet'!$AV$6 &amp; "  /  " &amp; 'Calculation Worksheet'!$AV$7, 1, ""))</f>
        <v>0</v>
      </c>
      <c r="R559" s="63" t="str">
        <f>IF(StatusBranchGrade[[#This Row],[S1]] = 1, COUNTIF($Q$3:Q559, 1), "")</f>
        <v/>
      </c>
      <c r="S559" s="63" t="str">
        <f>IFERROR(INDEX(StatusBranchGrade[Rank/Grade], MATCH(ROWS($R$3:R559)-1, StatusBranchGrade[S2], 0)), "") &amp; ""</f>
        <v/>
      </c>
      <c r="T559" s="63">
        <f>--ISNUMBER(IF(StatusBranchGrade[[#This Row],[Spouse0]] = 'Calculation Worksheet'!$CG$6 &amp; "  /  " &amp; 'Calculation Worksheet'!$CG$7, 1, ""))</f>
        <v>0</v>
      </c>
      <c r="U559" s="63" t="str">
        <f>IF(StatusBranchGrade[[#This Row],[T1]] = 1, COUNTIF($T$3:T559, 1), "")</f>
        <v/>
      </c>
      <c r="V559" s="63" t="str">
        <f>IFERROR(INDEX(StatusBranchGrade[Rank/Grade], MATCH(ROWS($U$3:U559)-1, StatusBranchGrade[T2], 0)), "") &amp; ""</f>
        <v/>
      </c>
      <c r="W559" s="63"/>
    </row>
    <row r="560" spans="1:23" x14ac:dyDescent="0.25">
      <c r="A560">
        <v>12</v>
      </c>
      <c r="B560" t="s">
        <v>312</v>
      </c>
      <c r="E560" t="str">
        <f>IF(StatusBranchGrade[[#This Row],[Status]] = "CYS", "DoD", StatusBranchGrade[[#This Row],[Rank]] &amp; "")</f>
        <v/>
      </c>
      <c r="G560" t="str">
        <f>IF(StatusBranchGrade[[#This Row],[Rank]] = StatusBranchGrade[[#This Row],[Grade]], StatusBranchGrade[[#This Row],[Rank]], StatusBranchGrade[[#This Row],[Grade]] &amp; "/" &amp; StatusBranchGrade[[#This Row],[Rank]]) &amp; ""</f>
        <v/>
      </c>
      <c r="H560"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Private Civilian--IMCOM-approved</v>
      </c>
      <c r="I560" s="17" t="str">
        <f>SUBSTITUTE(SUBSTITUTE(SUBSTITUTE(StatusBranchGrade[[#This Row],[Status]] &amp; "  /  " &amp; StatusBranchGrade[[#This Row],[Branch]] &amp; ";", "  /  ;", ";"), "  /  ;", ";"), ";", "")</f>
        <v>Private Civilian--IMCOM-approved</v>
      </c>
      <c r="J560">
        <v>1</v>
      </c>
      <c r="K560" s="17" t="str">
        <f>IF(LEFT(StatusBranchGrade[[#This Row],[Which]], 1) = "1", StatusBranchGrade[[#This Row],[Key]], "")</f>
        <v>Private Civilian--IMCOM-approved</v>
      </c>
      <c r="L560" s="17" t="str">
        <f>IF(LEFT(StatusBranchGrade[[#This Row],[Which]], 1) = "1", StatusBranchGrade[[#This Row],[Key0]], "")</f>
        <v>Private Civilian--IMCOM-approved</v>
      </c>
      <c r="M560" s="17" t="str">
        <f>IF(RIGHT(StatusBranchGrade[[#This Row],[Which]], 1) = "2", StatusBranchGrade[[#This Row],[Key]], "")</f>
        <v/>
      </c>
      <c r="N560" s="17" t="str">
        <f>IF(RIGHT(StatusBranchGrade[[#This Row],[Which]], 1) = "2", StatusBranchGrade[[#This Row],[Key0]], "")</f>
        <v/>
      </c>
      <c r="O560" s="17" t="s">
        <v>6</v>
      </c>
      <c r="P560" s="17"/>
      <c r="Q560" s="63">
        <f>--ISNUMBER(IF(StatusBranchGrade[[#This Row],[Sponsor0]] = 'Calculation Worksheet'!$AV$6 &amp; "  /  " &amp; 'Calculation Worksheet'!$AV$7, 1, ""))</f>
        <v>0</v>
      </c>
      <c r="R560" s="63" t="str">
        <f>IF(StatusBranchGrade[[#This Row],[S1]] = 1, COUNTIF($Q$3:Q560, 1), "")</f>
        <v/>
      </c>
      <c r="S560" s="63" t="str">
        <f>IFERROR(INDEX(StatusBranchGrade[Rank/Grade], MATCH(ROWS($R$3:R560)-1, StatusBranchGrade[S2], 0)), "") &amp; ""</f>
        <v/>
      </c>
      <c r="T560" s="63">
        <f>--ISNUMBER(IF(StatusBranchGrade[[#This Row],[Spouse0]] = 'Calculation Worksheet'!$CG$6 &amp; "  /  " &amp; 'Calculation Worksheet'!$CG$7, 1, ""))</f>
        <v>0</v>
      </c>
      <c r="U560" s="63" t="str">
        <f>IF(StatusBranchGrade[[#This Row],[T1]] = 1, COUNTIF($T$3:T560, 1), "")</f>
        <v/>
      </c>
      <c r="V560" s="63" t="str">
        <f>IFERROR(INDEX(StatusBranchGrade[Rank/Grade], MATCH(ROWS($U$3:U560)-1, StatusBranchGrade[T2], 0)), "") &amp; ""</f>
        <v/>
      </c>
      <c r="W560" s="63"/>
    </row>
    <row r="561" spans="1:23" x14ac:dyDescent="0.25">
      <c r="A561">
        <v>13</v>
      </c>
      <c r="B561" t="s">
        <v>213</v>
      </c>
      <c r="E561" t="str">
        <f>IF(StatusBranchGrade[[#This Row],[Status]] = "CYS", "DoD", StatusBranchGrade[[#This Row],[Rank]] &amp; "")</f>
        <v/>
      </c>
      <c r="G561" t="str">
        <f>IF(StatusBranchGrade[[#This Row],[Rank]] = StatusBranchGrade[[#This Row],[Grade]], StatusBranchGrade[[#This Row],[Rank]], StatusBranchGrade[[#This Row],[Grade]] &amp; "/" &amp; StatusBranchGrade[[#This Row],[Rank]]) &amp; ""</f>
        <v/>
      </c>
      <c r="H561"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Student</v>
      </c>
      <c r="I561" s="17" t="str">
        <f>SUBSTITUTE(SUBSTITUTE(SUBSTITUTE(StatusBranchGrade[[#This Row],[Status]] &amp; "  /  " &amp; StatusBranchGrade[[#This Row],[Branch]] &amp; ";", "  /  ;", ";"), "  /  ;", ";"), ";", "")</f>
        <v>Student</v>
      </c>
      <c r="J561">
        <v>2</v>
      </c>
      <c r="K561" s="17" t="str">
        <f>IF(LEFT(StatusBranchGrade[[#This Row],[Which]], 1) = "1", StatusBranchGrade[[#This Row],[Key]], "")</f>
        <v/>
      </c>
      <c r="L561" s="17" t="str">
        <f>IF(LEFT(StatusBranchGrade[[#This Row],[Which]], 1) = "1", StatusBranchGrade[[#This Row],[Key0]], "")</f>
        <v/>
      </c>
      <c r="M561" s="17" t="str">
        <f>IF(RIGHT(StatusBranchGrade[[#This Row],[Which]], 1) = "2", StatusBranchGrade[[#This Row],[Key]], "")</f>
        <v>Student</v>
      </c>
      <c r="N561" s="17" t="str">
        <f>IF(RIGHT(StatusBranchGrade[[#This Row],[Which]], 1) = "2", StatusBranchGrade[[#This Row],[Key0]], "")</f>
        <v>Student</v>
      </c>
      <c r="O561" s="74" t="s">
        <v>302</v>
      </c>
      <c r="P561" s="17"/>
      <c r="Q561" s="63">
        <f>--ISNUMBER(IF(StatusBranchGrade[[#This Row],[Sponsor0]] = 'Calculation Worksheet'!$AV$6 &amp; "  /  " &amp; 'Calculation Worksheet'!$AV$7, 1, ""))</f>
        <v>0</v>
      </c>
      <c r="R561" s="63" t="str">
        <f>IF(StatusBranchGrade[[#This Row],[S1]] = 1, COUNTIF($Q$3:Q561, 1), "")</f>
        <v/>
      </c>
      <c r="S561" s="63" t="str">
        <f>IFERROR(INDEX(StatusBranchGrade[Rank/Grade], MATCH(ROWS($R$3:R561)-1, StatusBranchGrade[S2], 0)), "") &amp; ""</f>
        <v/>
      </c>
      <c r="T561" s="63">
        <f>--ISNUMBER(IF(StatusBranchGrade[[#This Row],[Spouse0]] = 'Calculation Worksheet'!$CG$6 &amp; "  /  " &amp; 'Calculation Worksheet'!$CG$7, 1, ""))</f>
        <v>0</v>
      </c>
      <c r="U561" s="63" t="str">
        <f>IF(StatusBranchGrade[[#This Row],[T1]] = 1, COUNTIF($T$3:T561, 1), "")</f>
        <v/>
      </c>
      <c r="V561" s="63" t="str">
        <f>IFERROR(INDEX(StatusBranchGrade[Rank/Grade], MATCH(ROWS($U$3:U561)-1, StatusBranchGrade[T2], 0)), "") &amp; ""</f>
        <v/>
      </c>
      <c r="W561" s="63"/>
    </row>
    <row r="562" spans="1:23" x14ac:dyDescent="0.25">
      <c r="A562">
        <v>14</v>
      </c>
      <c r="B562" t="s">
        <v>214</v>
      </c>
      <c r="E562" t="str">
        <f>IF(StatusBranchGrade[[#This Row],[Status]] = "CYS", "DoD", StatusBranchGrade[[#This Row],[Rank]] &amp; "")</f>
        <v/>
      </c>
      <c r="G562" t="str">
        <f>IF(StatusBranchGrade[[#This Row],[Rank]] = StatusBranchGrade[[#This Row],[Grade]], StatusBranchGrade[[#This Row],[Rank]], StatusBranchGrade[[#This Row],[Grade]] &amp; "/" &amp; StatusBranchGrade[[#This Row],[Rank]]) &amp; ""</f>
        <v/>
      </c>
      <c r="H562"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Retired military</v>
      </c>
      <c r="I562" s="17" t="str">
        <f>SUBSTITUTE(SUBSTITUTE(SUBSTITUTE(StatusBranchGrade[[#This Row],[Status]] &amp; "  /  " &amp; StatusBranchGrade[[#This Row],[Branch]] &amp; ";", "  /  ;", ";"), "  /  ;", ";"), ";", "")</f>
        <v>Retired military</v>
      </c>
      <c r="J562">
        <v>1</v>
      </c>
      <c r="K562" s="17" t="str">
        <f>IF(LEFT(StatusBranchGrade[[#This Row],[Which]], 1) = "1", StatusBranchGrade[[#This Row],[Key]], "")</f>
        <v>Retired military</v>
      </c>
      <c r="L562" s="17" t="str">
        <f>IF(LEFT(StatusBranchGrade[[#This Row],[Which]], 1) = "1", StatusBranchGrade[[#This Row],[Key0]], "")</f>
        <v>Retired military</v>
      </c>
      <c r="M562" s="17" t="str">
        <f>IF(RIGHT(StatusBranchGrade[[#This Row],[Which]], 1) = "2", StatusBranchGrade[[#This Row],[Key]], "")</f>
        <v/>
      </c>
      <c r="N562" s="17" t="str">
        <f>IF(RIGHT(StatusBranchGrade[[#This Row],[Which]], 1) = "2", StatusBranchGrade[[#This Row],[Key0]], "")</f>
        <v/>
      </c>
      <c r="O562" s="17" t="s">
        <v>6</v>
      </c>
      <c r="P562" s="17"/>
      <c r="Q562" s="63">
        <f>--ISNUMBER(IF(StatusBranchGrade[[#This Row],[Sponsor0]] = 'Calculation Worksheet'!$AV$6 &amp; "  /  " &amp; 'Calculation Worksheet'!$AV$7, 1, ""))</f>
        <v>0</v>
      </c>
      <c r="R562" s="63" t="str">
        <f>IF(StatusBranchGrade[[#This Row],[S1]] = 1, COUNTIF($Q$3:Q562, 1), "")</f>
        <v/>
      </c>
      <c r="S562" s="63" t="str">
        <f>IFERROR(INDEX(StatusBranchGrade[Rank/Grade], MATCH(ROWS($R$3:R562)-1, StatusBranchGrade[S2], 0)), "") &amp; ""</f>
        <v/>
      </c>
      <c r="T562" s="63">
        <f>--ISNUMBER(IF(StatusBranchGrade[[#This Row],[Spouse0]] = 'Calculation Worksheet'!$CG$6 &amp; "  /  " &amp; 'Calculation Worksheet'!$CG$7, 1, ""))</f>
        <v>0</v>
      </c>
      <c r="U562" s="63" t="str">
        <f>IF(StatusBranchGrade[[#This Row],[T1]] = 1, COUNTIF($T$3:T562, 1), "")</f>
        <v/>
      </c>
      <c r="V562" s="63" t="str">
        <f>IFERROR(INDEX(StatusBranchGrade[Rank/Grade], MATCH(ROWS($U$3:U562)-1, StatusBranchGrade[T2], 0)), "") &amp; ""</f>
        <v/>
      </c>
      <c r="W562" s="63"/>
    </row>
    <row r="563" spans="1:23" x14ac:dyDescent="0.25">
      <c r="A563">
        <v>15</v>
      </c>
      <c r="B563" t="s">
        <v>215</v>
      </c>
      <c r="E563" t="str">
        <f>IF(StatusBranchGrade[[#This Row],[Status]] = "CYS", "DoD", StatusBranchGrade[[#This Row],[Rank]] &amp; "")</f>
        <v/>
      </c>
      <c r="G563" t="str">
        <f>IF(StatusBranchGrade[[#This Row],[Rank]] = StatusBranchGrade[[#This Row],[Grade]], StatusBranchGrade[[#This Row],[Rank]], StatusBranchGrade[[#This Row],[Grade]] &amp; "/" &amp; StatusBranchGrade[[#This Row],[Rank]]) &amp; ""</f>
        <v/>
      </c>
      <c r="H563"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Unemployed</v>
      </c>
      <c r="I563" s="17" t="str">
        <f>SUBSTITUTE(SUBSTITUTE(SUBSTITUTE(StatusBranchGrade[[#This Row],[Status]] &amp; "  /  " &amp; StatusBranchGrade[[#This Row],[Branch]] &amp; ";", "  /  ;", ";"), "  /  ;", ";"), ";", "")</f>
        <v>Unemployed</v>
      </c>
      <c r="J563">
        <v>2</v>
      </c>
      <c r="K563" s="17" t="str">
        <f>IF(LEFT(StatusBranchGrade[[#This Row],[Which]], 1) = "1", StatusBranchGrade[[#This Row],[Key]], "")</f>
        <v/>
      </c>
      <c r="L563" s="17" t="str">
        <f>IF(LEFT(StatusBranchGrade[[#This Row],[Which]], 1) = "1", StatusBranchGrade[[#This Row],[Key0]], "")</f>
        <v/>
      </c>
      <c r="M563" s="17" t="str">
        <f>IF(RIGHT(StatusBranchGrade[[#This Row],[Which]], 1) = "2", StatusBranchGrade[[#This Row],[Key]], "")</f>
        <v>Unemployed</v>
      </c>
      <c r="N563" s="17" t="str">
        <f>IF(RIGHT(StatusBranchGrade[[#This Row],[Which]], 1) = "2", StatusBranchGrade[[#This Row],[Key0]], "")</f>
        <v>Unemployed</v>
      </c>
      <c r="O563" s="74" t="s">
        <v>302</v>
      </c>
      <c r="P563" s="17"/>
      <c r="Q563" s="63">
        <f>--ISNUMBER(IF(StatusBranchGrade[[#This Row],[Sponsor0]] = 'Calculation Worksheet'!$AV$6 &amp; "  /  " &amp; 'Calculation Worksheet'!$AV$7, 1, ""))</f>
        <v>0</v>
      </c>
      <c r="R563" s="63" t="str">
        <f>IF(StatusBranchGrade[[#This Row],[S1]] = 1, COUNTIF($Q$3:Q563, 1), "")</f>
        <v/>
      </c>
      <c r="S563" s="63" t="str">
        <f>IFERROR(INDEX(StatusBranchGrade[Rank/Grade], MATCH(ROWS($R$3:R563)-1, StatusBranchGrade[S2], 0)), "") &amp; ""</f>
        <v/>
      </c>
      <c r="T563" s="63">
        <f>--ISNUMBER(IF(StatusBranchGrade[[#This Row],[Spouse0]] = 'Calculation Worksheet'!$CG$6 &amp; "  /  " &amp; 'Calculation Worksheet'!$CG$7, 1, ""))</f>
        <v>0</v>
      </c>
      <c r="U563" s="63" t="str">
        <f>IF(StatusBranchGrade[[#This Row],[T1]] = 1, COUNTIF($T$3:T563, 1), "")</f>
        <v/>
      </c>
      <c r="V563" s="63" t="str">
        <f>IFERROR(INDEX(StatusBranchGrade[Rank/Grade], MATCH(ROWS($U$3:U563)-1, StatusBranchGrade[T2], 0)), "") &amp; ""</f>
        <v/>
      </c>
      <c r="W563" s="63"/>
    </row>
    <row r="564" spans="1:23" x14ac:dyDescent="0.25">
      <c r="A564">
        <v>9</v>
      </c>
      <c r="B564" t="s">
        <v>219</v>
      </c>
      <c r="C564" t="s">
        <v>183</v>
      </c>
      <c r="E564" s="17" t="str">
        <f>IF(StatusBranchGrade[[#This Row],[Status]] = "CYS", "DoD", StatusBranchGrade[[#This Row],[Rank]] &amp; "")</f>
        <v/>
      </c>
      <c r="F564" s="17"/>
      <c r="G564" s="17" t="str">
        <f>IF(StatusBranchGrade[[#This Row],[Rank]] = StatusBranchGrade[[#This Row],[Grade]], StatusBranchGrade[[#This Row],[Rank]], StatusBranchGrade[[#This Row],[Grade]] &amp; "/" &amp; StatusBranchGrade[[#This Row],[Rank]]) &amp; ""</f>
        <v/>
      </c>
      <c r="H564"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Air Force</v>
      </c>
      <c r="I564" s="17" t="str">
        <f>SUBSTITUTE(SUBSTITUTE(SUBSTITUTE(StatusBranchGrade[[#This Row],[Status]] &amp; "  /  " &amp; StatusBranchGrade[[#This Row],[Branch]] &amp; ";", "  /  ;", ";"), "  /  ;", ";"), ";", "")</f>
        <v>Eligible Contractor  /  Air Force</v>
      </c>
      <c r="J564">
        <v>12</v>
      </c>
      <c r="K564" s="17" t="str">
        <f>IF(LEFT(StatusBranchGrade[[#This Row],[Which]], 1) = "1", StatusBranchGrade[[#This Row],[Key]], "")</f>
        <v>Eligible Contractor  /  Air Force</v>
      </c>
      <c r="L564" s="17" t="str">
        <f>IF(LEFT(StatusBranchGrade[[#This Row],[Which]], 1) = "1", StatusBranchGrade[[#This Row],[Key0]], "")</f>
        <v>Eligible Contractor  /  Air Force</v>
      </c>
      <c r="M564" s="17" t="str">
        <f>IF(RIGHT(StatusBranchGrade[[#This Row],[Which]], 1) = "2", StatusBranchGrade[[#This Row],[Key]], "")</f>
        <v>Eligible Contractor  /  Air Force</v>
      </c>
      <c r="N564" s="17" t="str">
        <f>IF(RIGHT(StatusBranchGrade[[#This Row],[Which]], 1) = "2", StatusBranchGrade[[#This Row],[Key0]], "")</f>
        <v>Eligible Contractor  /  Air Force</v>
      </c>
      <c r="O564" s="17" t="s">
        <v>297</v>
      </c>
      <c r="P564" s="17"/>
      <c r="Q564" s="63">
        <f>--ISNUMBER(IF(StatusBranchGrade[[#This Row],[Sponsor0]] = 'Calculation Worksheet'!$AV$6 &amp; "  /  " &amp; 'Calculation Worksheet'!$AV$7, 1, ""))</f>
        <v>0</v>
      </c>
      <c r="R564" s="63" t="str">
        <f>IF(StatusBranchGrade[[#This Row],[S1]] = 1, COUNTIF($Q$3:Q564, 1), "")</f>
        <v/>
      </c>
      <c r="S564" s="63" t="str">
        <f>IFERROR(INDEX(StatusBranchGrade[Rank/Grade], MATCH(ROWS($R$3:R564)-1, StatusBranchGrade[S2], 0)), "") &amp; ""</f>
        <v/>
      </c>
      <c r="T564" s="63">
        <f>--ISNUMBER(IF(StatusBranchGrade[[#This Row],[Spouse0]] = 'Calculation Worksheet'!$CG$6 &amp; "  /  " &amp; 'Calculation Worksheet'!$CG$7, 1, ""))</f>
        <v>0</v>
      </c>
      <c r="U564" s="63" t="str">
        <f>IF(StatusBranchGrade[[#This Row],[T1]] = 1, COUNTIF($T$3:T564, 1), "")</f>
        <v/>
      </c>
      <c r="V564" s="63" t="str">
        <f>IFERROR(INDEX(StatusBranchGrade[Rank/Grade], MATCH(ROWS($U$3:U564)-1, StatusBranchGrade[T2], 0)), "") &amp; ""</f>
        <v/>
      </c>
      <c r="W564" s="63"/>
    </row>
    <row r="565" spans="1:23" x14ac:dyDescent="0.25">
      <c r="A565">
        <v>9</v>
      </c>
      <c r="B565" t="s">
        <v>219</v>
      </c>
      <c r="C565" t="s">
        <v>180</v>
      </c>
      <c r="E565" s="17" t="str">
        <f>IF(StatusBranchGrade[[#This Row],[Status]] = "CYS", "DoD", StatusBranchGrade[[#This Row],[Rank]] &amp; "")</f>
        <v/>
      </c>
      <c r="F565" s="17"/>
      <c r="G565" s="17" t="str">
        <f>IF(StatusBranchGrade[[#This Row],[Rank]] = StatusBranchGrade[[#This Row],[Grade]], StatusBranchGrade[[#This Row],[Rank]], StatusBranchGrade[[#This Row],[Grade]] &amp; "/" &amp; StatusBranchGrade[[#This Row],[Rank]]) &amp; ""</f>
        <v/>
      </c>
      <c r="H565"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Army</v>
      </c>
      <c r="I565" s="17" t="str">
        <f>SUBSTITUTE(SUBSTITUTE(SUBSTITUTE(StatusBranchGrade[[#This Row],[Status]] &amp; "  /  " &amp; StatusBranchGrade[[#This Row],[Branch]] &amp; ";", "  /  ;", ";"), "  /  ;", ";"), ";", "")</f>
        <v>Eligible Contractor  /  Army</v>
      </c>
      <c r="J565">
        <v>12</v>
      </c>
      <c r="K565" s="17" t="str">
        <f>IF(LEFT(StatusBranchGrade[[#This Row],[Which]], 1) = "1", StatusBranchGrade[[#This Row],[Key]], "")</f>
        <v>Eligible Contractor  /  Army</v>
      </c>
      <c r="L565" s="17" t="str">
        <f>IF(LEFT(StatusBranchGrade[[#This Row],[Which]], 1) = "1", StatusBranchGrade[[#This Row],[Key0]], "")</f>
        <v>Eligible Contractor  /  Army</v>
      </c>
      <c r="M565" s="17" t="str">
        <f>IF(RIGHT(StatusBranchGrade[[#This Row],[Which]], 1) = "2", StatusBranchGrade[[#This Row],[Key]], "")</f>
        <v>Eligible Contractor  /  Army</v>
      </c>
      <c r="N565" s="17" t="str">
        <f>IF(RIGHT(StatusBranchGrade[[#This Row],[Which]], 1) = "2", StatusBranchGrade[[#This Row],[Key0]], "")</f>
        <v>Eligible Contractor  /  Army</v>
      </c>
      <c r="O565" s="17" t="s">
        <v>297</v>
      </c>
      <c r="P565" s="17"/>
      <c r="Q565" s="63">
        <f>--ISNUMBER(IF(StatusBranchGrade[[#This Row],[Sponsor0]] = 'Calculation Worksheet'!$AV$6 &amp; "  /  " &amp; 'Calculation Worksheet'!$AV$7, 1, ""))</f>
        <v>0</v>
      </c>
      <c r="R565" s="63" t="str">
        <f>IF(StatusBranchGrade[[#This Row],[S1]] = 1, COUNTIF($Q$3:Q565, 1), "")</f>
        <v/>
      </c>
      <c r="S565" s="63" t="str">
        <f>IFERROR(INDEX(StatusBranchGrade[Rank/Grade], MATCH(ROWS($R$3:R565)-1, StatusBranchGrade[S2], 0)), "") &amp; ""</f>
        <v/>
      </c>
      <c r="T565" s="63">
        <f>--ISNUMBER(IF(StatusBranchGrade[[#This Row],[Spouse0]] = 'Calculation Worksheet'!$CG$6 &amp; "  /  " &amp; 'Calculation Worksheet'!$CG$7, 1, ""))</f>
        <v>0</v>
      </c>
      <c r="U565" s="63" t="str">
        <f>IF(StatusBranchGrade[[#This Row],[T1]] = 1, COUNTIF($T$3:T565, 1), "")</f>
        <v/>
      </c>
      <c r="V565" s="63" t="str">
        <f>IFERROR(INDEX(StatusBranchGrade[Rank/Grade], MATCH(ROWS($U$3:U565)-1, StatusBranchGrade[T2], 0)), "") &amp; ""</f>
        <v/>
      </c>
      <c r="W565" s="63"/>
    </row>
    <row r="566" spans="1:23" x14ac:dyDescent="0.25">
      <c r="A566">
        <v>9</v>
      </c>
      <c r="B566" t="s">
        <v>219</v>
      </c>
      <c r="C566" t="s">
        <v>184</v>
      </c>
      <c r="E566" s="17" t="str">
        <f>IF(StatusBranchGrade[[#This Row],[Status]] = "CYS", "DoD", StatusBranchGrade[[#This Row],[Rank]] &amp; "")</f>
        <v/>
      </c>
      <c r="F566" s="17"/>
      <c r="G566" s="17" t="str">
        <f>IF(StatusBranchGrade[[#This Row],[Rank]] = StatusBranchGrade[[#This Row],[Grade]], StatusBranchGrade[[#This Row],[Rank]], StatusBranchGrade[[#This Row],[Grade]] &amp; "/" &amp; StatusBranchGrade[[#This Row],[Rank]]) &amp; ""</f>
        <v/>
      </c>
      <c r="H566"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Coast Guard</v>
      </c>
      <c r="I566" s="17" t="str">
        <f>SUBSTITUTE(SUBSTITUTE(SUBSTITUTE(StatusBranchGrade[[#This Row],[Status]] &amp; "  /  " &amp; StatusBranchGrade[[#This Row],[Branch]] &amp; ";", "  /  ;", ";"), "  /  ;", ";"), ";", "")</f>
        <v>Eligible Contractor  /  Coast Guard</v>
      </c>
      <c r="J566">
        <v>12</v>
      </c>
      <c r="K566" s="17" t="str">
        <f>IF(LEFT(StatusBranchGrade[[#This Row],[Which]], 1) = "1", StatusBranchGrade[[#This Row],[Key]], "")</f>
        <v>Eligible Contractor  /  Coast Guard</v>
      </c>
      <c r="L566" s="17" t="str">
        <f>IF(LEFT(StatusBranchGrade[[#This Row],[Which]], 1) = "1", StatusBranchGrade[[#This Row],[Key0]], "")</f>
        <v>Eligible Contractor  /  Coast Guard</v>
      </c>
      <c r="M566" s="17" t="str">
        <f>IF(RIGHT(StatusBranchGrade[[#This Row],[Which]], 1) = "2", StatusBranchGrade[[#This Row],[Key]], "")</f>
        <v>Eligible Contractor  /  Coast Guard</v>
      </c>
      <c r="N566" s="17" t="str">
        <f>IF(RIGHT(StatusBranchGrade[[#This Row],[Which]], 1) = "2", StatusBranchGrade[[#This Row],[Key0]], "")</f>
        <v>Eligible Contractor  /  Coast Guard</v>
      </c>
      <c r="O566" s="17" t="s">
        <v>297</v>
      </c>
      <c r="P566" s="17"/>
      <c r="Q566" s="63">
        <f>--ISNUMBER(IF(StatusBranchGrade[[#This Row],[Sponsor0]] = 'Calculation Worksheet'!$AV$6 &amp; "  /  " &amp; 'Calculation Worksheet'!$AV$7, 1, ""))</f>
        <v>0</v>
      </c>
      <c r="R566" s="63" t="str">
        <f>IF(StatusBranchGrade[[#This Row],[S1]] = 1, COUNTIF($Q$3:Q566, 1), "")</f>
        <v/>
      </c>
      <c r="S566" s="63" t="str">
        <f>IFERROR(INDEX(StatusBranchGrade[Rank/Grade], MATCH(ROWS($R$3:R566)-1, StatusBranchGrade[S2], 0)), "") &amp; ""</f>
        <v/>
      </c>
      <c r="T566" s="63">
        <f>--ISNUMBER(IF(StatusBranchGrade[[#This Row],[Spouse0]] = 'Calculation Worksheet'!$CG$6 &amp; "  /  " &amp; 'Calculation Worksheet'!$CG$7, 1, ""))</f>
        <v>0</v>
      </c>
      <c r="U566" s="63" t="str">
        <f>IF(StatusBranchGrade[[#This Row],[T1]] = 1, COUNTIF($T$3:T566, 1), "")</f>
        <v/>
      </c>
      <c r="V566" s="63" t="str">
        <f>IFERROR(INDEX(StatusBranchGrade[Rank/Grade], MATCH(ROWS($U$3:U566)-1, StatusBranchGrade[T2], 0)), "") &amp; ""</f>
        <v/>
      </c>
      <c r="W566" s="63"/>
    </row>
    <row r="567" spans="1:23" x14ac:dyDescent="0.25">
      <c r="A567">
        <v>9</v>
      </c>
      <c r="B567" t="s">
        <v>219</v>
      </c>
      <c r="C567" t="s">
        <v>181</v>
      </c>
      <c r="E567" s="17" t="str">
        <f>IF(StatusBranchGrade[[#This Row],[Status]] = "CYS", "DoD", StatusBranchGrade[[#This Row],[Rank]] &amp; "")</f>
        <v/>
      </c>
      <c r="F567" s="17"/>
      <c r="G567" s="17" t="str">
        <f>IF(StatusBranchGrade[[#This Row],[Rank]] = StatusBranchGrade[[#This Row],[Grade]], StatusBranchGrade[[#This Row],[Rank]], StatusBranchGrade[[#This Row],[Grade]] &amp; "/" &amp; StatusBranchGrade[[#This Row],[Rank]]) &amp; ""</f>
        <v/>
      </c>
      <c r="H567"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Marines</v>
      </c>
      <c r="I567" s="17" t="str">
        <f>SUBSTITUTE(SUBSTITUTE(SUBSTITUTE(StatusBranchGrade[[#This Row],[Status]] &amp; "  /  " &amp; StatusBranchGrade[[#This Row],[Branch]] &amp; ";", "  /  ;", ";"), "  /  ;", ";"), ";", "")</f>
        <v>Eligible Contractor  /  Marines</v>
      </c>
      <c r="J567">
        <v>12</v>
      </c>
      <c r="K567" s="17" t="str">
        <f>IF(LEFT(StatusBranchGrade[[#This Row],[Which]], 1) = "1", StatusBranchGrade[[#This Row],[Key]], "")</f>
        <v>Eligible Contractor  /  Marines</v>
      </c>
      <c r="L567" s="17" t="str">
        <f>IF(LEFT(StatusBranchGrade[[#This Row],[Which]], 1) = "1", StatusBranchGrade[[#This Row],[Key0]], "")</f>
        <v>Eligible Contractor  /  Marines</v>
      </c>
      <c r="M567" s="17" t="str">
        <f>IF(RIGHT(StatusBranchGrade[[#This Row],[Which]], 1) = "2", StatusBranchGrade[[#This Row],[Key]], "")</f>
        <v>Eligible Contractor  /  Marines</v>
      </c>
      <c r="N567" s="17" t="str">
        <f>IF(RIGHT(StatusBranchGrade[[#This Row],[Which]], 1) = "2", StatusBranchGrade[[#This Row],[Key0]], "")</f>
        <v>Eligible Contractor  /  Marines</v>
      </c>
      <c r="O567" s="17" t="s">
        <v>297</v>
      </c>
      <c r="P567" s="17"/>
      <c r="Q567" s="63">
        <f>--ISNUMBER(IF(StatusBranchGrade[[#This Row],[Sponsor0]] = 'Calculation Worksheet'!$AV$6 &amp; "  /  " &amp; 'Calculation Worksheet'!$AV$7, 1, ""))</f>
        <v>0</v>
      </c>
      <c r="R567" s="63" t="str">
        <f>IF(StatusBranchGrade[[#This Row],[S1]] = 1, COUNTIF($Q$3:Q567, 1), "")</f>
        <v/>
      </c>
      <c r="S567" s="63" t="str">
        <f>IFERROR(INDEX(StatusBranchGrade[Rank/Grade], MATCH(ROWS($R$3:R567)-1, StatusBranchGrade[S2], 0)), "") &amp; ""</f>
        <v/>
      </c>
      <c r="T567" s="63">
        <f>--ISNUMBER(IF(StatusBranchGrade[[#This Row],[Spouse0]] = 'Calculation Worksheet'!$CG$6 &amp; "  /  " &amp; 'Calculation Worksheet'!$CG$7, 1, ""))</f>
        <v>0</v>
      </c>
      <c r="U567" s="63" t="str">
        <f>IF(StatusBranchGrade[[#This Row],[T1]] = 1, COUNTIF($T$3:T567, 1), "")</f>
        <v/>
      </c>
      <c r="V567" s="63" t="str">
        <f>IFERROR(INDEX(StatusBranchGrade[Rank/Grade], MATCH(ROWS($U$3:U567)-1, StatusBranchGrade[T2], 0)), "") &amp; ""</f>
        <v/>
      </c>
      <c r="W567" s="63"/>
    </row>
    <row r="568" spans="1:23" x14ac:dyDescent="0.25">
      <c r="A568">
        <v>9</v>
      </c>
      <c r="B568" t="s">
        <v>219</v>
      </c>
      <c r="C568" t="s">
        <v>182</v>
      </c>
      <c r="E568" s="17" t="str">
        <f>IF(StatusBranchGrade[[#This Row],[Status]] = "CYS", "DoD", StatusBranchGrade[[#This Row],[Rank]] &amp; "")</f>
        <v/>
      </c>
      <c r="F568" s="17"/>
      <c r="G568" s="17" t="str">
        <f>IF(StatusBranchGrade[[#This Row],[Rank]] = StatusBranchGrade[[#This Row],[Grade]], StatusBranchGrade[[#This Row],[Rank]], StatusBranchGrade[[#This Row],[Grade]] &amp; "/" &amp; StatusBranchGrade[[#This Row],[Rank]]) &amp; ""</f>
        <v/>
      </c>
      <c r="H568"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Navy</v>
      </c>
      <c r="I568" s="17" t="str">
        <f>SUBSTITUTE(SUBSTITUTE(SUBSTITUTE(StatusBranchGrade[[#This Row],[Status]] &amp; "  /  " &amp; StatusBranchGrade[[#This Row],[Branch]] &amp; ";", "  /  ;", ";"), "  /  ;", ";"), ";", "")</f>
        <v>Eligible Contractor  /  Navy</v>
      </c>
      <c r="J568">
        <v>12</v>
      </c>
      <c r="K568" s="17" t="str">
        <f>IF(LEFT(StatusBranchGrade[[#This Row],[Which]], 1) = "1", StatusBranchGrade[[#This Row],[Key]], "")</f>
        <v>Eligible Contractor  /  Navy</v>
      </c>
      <c r="L568" s="17" t="str">
        <f>IF(LEFT(StatusBranchGrade[[#This Row],[Which]], 1) = "1", StatusBranchGrade[[#This Row],[Key0]], "")</f>
        <v>Eligible Contractor  /  Navy</v>
      </c>
      <c r="M568" s="17" t="str">
        <f>IF(RIGHT(StatusBranchGrade[[#This Row],[Which]], 1) = "2", StatusBranchGrade[[#This Row],[Key]], "")</f>
        <v>Eligible Contractor  /  Navy</v>
      </c>
      <c r="N568" s="17" t="str">
        <f>IF(RIGHT(StatusBranchGrade[[#This Row],[Which]], 1) = "2", StatusBranchGrade[[#This Row],[Key0]], "")</f>
        <v>Eligible Contractor  /  Navy</v>
      </c>
      <c r="O568" s="17" t="s">
        <v>297</v>
      </c>
      <c r="P568" s="17"/>
      <c r="Q568" s="63">
        <f>--ISNUMBER(IF(StatusBranchGrade[[#This Row],[Sponsor0]] = 'Calculation Worksheet'!$AV$6 &amp; "  /  " &amp; 'Calculation Worksheet'!$AV$7, 1, ""))</f>
        <v>0</v>
      </c>
      <c r="R568" s="63" t="str">
        <f>IF(StatusBranchGrade[[#This Row],[S1]] = 1, COUNTIF($Q$3:Q568, 1), "")</f>
        <v/>
      </c>
      <c r="S568" s="63" t="str">
        <f>IFERROR(INDEX(StatusBranchGrade[Rank/Grade], MATCH(ROWS($R$3:R568)-1, StatusBranchGrade[S2], 0)), "") &amp; ""</f>
        <v/>
      </c>
      <c r="T568" s="63">
        <f>--ISNUMBER(IF(StatusBranchGrade[[#This Row],[Spouse0]] = 'Calculation Worksheet'!$CG$6 &amp; "  /  " &amp; 'Calculation Worksheet'!$CG$7, 1, ""))</f>
        <v>0</v>
      </c>
      <c r="U568" s="63" t="str">
        <f>IF(StatusBranchGrade[[#This Row],[T1]] = 1, COUNTIF($T$3:T568, 1), "")</f>
        <v/>
      </c>
      <c r="V568" s="63" t="str">
        <f>IFERROR(INDEX(StatusBranchGrade[Rank/Grade], MATCH(ROWS($U$3:U568)-1, StatusBranchGrade[T2], 0)), "") &amp; ""</f>
        <v/>
      </c>
      <c r="W568" s="63"/>
    </row>
    <row r="569" spans="1:23" x14ac:dyDescent="0.25">
      <c r="A569">
        <v>9</v>
      </c>
      <c r="B569" t="s">
        <v>219</v>
      </c>
      <c r="C569" t="s">
        <v>185</v>
      </c>
      <c r="E569" s="17" t="str">
        <f>IF(StatusBranchGrade[[#This Row],[Status]] = "CYS", "DoD", StatusBranchGrade[[#This Row],[Rank]] &amp; "")</f>
        <v/>
      </c>
      <c r="F569" s="17"/>
      <c r="G569" s="17" t="str">
        <f>IF(StatusBranchGrade[[#This Row],[Rank]] = StatusBranchGrade[[#This Row],[Grade]], StatusBranchGrade[[#This Row],[Rank]], StatusBranchGrade[[#This Row],[Grade]] &amp; "/" &amp; StatusBranchGrade[[#This Row],[Rank]]) &amp; ""</f>
        <v/>
      </c>
      <c r="H569" s="17" t="str">
        <f>SUBSTITUTE(SUBSTITUTE(SUBSTITUTE(StatusBranchGrade[[#This Row],[Status]] &amp; "  /  " &amp; StatusBranchGrade[[#This Row],[Branch]] &amp; "  /  " &amp; IF(StatusBranchGrade[[#This Row],[Rank]] = StatusBranchGrade[[#This Row],[Grade]], StatusBranchGrade[[#This Row],[Rank]], StatusBranchGrade[[#This Row],[Grade]] &amp; "/" &amp; StatusBranchGrade[[#This Row],[Rank]]) &amp; ";", "  /  ;", ";"), "  /  ;", ";"), ";", "")</f>
        <v>Eligible Contractor  /  Space Force</v>
      </c>
      <c r="I569" s="17" t="str">
        <f>SUBSTITUTE(SUBSTITUTE(SUBSTITUTE(StatusBranchGrade[[#This Row],[Status]] &amp; "  /  " &amp; StatusBranchGrade[[#This Row],[Branch]] &amp; ";", "  /  ;", ";"), "  /  ;", ";"), ";", "")</f>
        <v>Eligible Contractor  /  Space Force</v>
      </c>
      <c r="J569">
        <v>12</v>
      </c>
      <c r="K569" s="17" t="str">
        <f>IF(LEFT(StatusBranchGrade[[#This Row],[Which]], 1) = "1", StatusBranchGrade[[#This Row],[Key]], "")</f>
        <v>Eligible Contractor  /  Space Force</v>
      </c>
      <c r="L569" s="17" t="str">
        <f>IF(LEFT(StatusBranchGrade[[#This Row],[Which]], 1) = "1", StatusBranchGrade[[#This Row],[Key0]], "")</f>
        <v>Eligible Contractor  /  Space Force</v>
      </c>
      <c r="M569" s="17" t="str">
        <f>IF(RIGHT(StatusBranchGrade[[#This Row],[Which]], 1) = "2", StatusBranchGrade[[#This Row],[Key]], "")</f>
        <v>Eligible Contractor  /  Space Force</v>
      </c>
      <c r="N569" s="17" t="str">
        <f>IF(RIGHT(StatusBranchGrade[[#This Row],[Which]], 1) = "2", StatusBranchGrade[[#This Row],[Key0]], "")</f>
        <v>Eligible Contractor  /  Space Force</v>
      </c>
      <c r="O569" s="17" t="s">
        <v>297</v>
      </c>
      <c r="P569" s="17"/>
      <c r="Q569" s="63">
        <f>--ISNUMBER(IF(StatusBranchGrade[[#This Row],[Sponsor0]] = 'Calculation Worksheet'!$AV$6 &amp; "  /  " &amp; 'Calculation Worksheet'!$AV$7, 1, ""))</f>
        <v>0</v>
      </c>
      <c r="R569" s="63" t="str">
        <f>IF(StatusBranchGrade[[#This Row],[S1]] = 1, COUNTIF($Q$3:Q569, 1), "")</f>
        <v/>
      </c>
      <c r="S569" s="63" t="str">
        <f>IFERROR(INDEX(StatusBranchGrade[Rank/Grade], MATCH(ROWS($R$3:R569)-1, StatusBranchGrade[S2], 0)), "") &amp; ""</f>
        <v/>
      </c>
      <c r="T569" s="63">
        <f>--ISNUMBER(IF(StatusBranchGrade[[#This Row],[Spouse0]] = 'Calculation Worksheet'!$CG$6 &amp; "  /  " &amp; 'Calculation Worksheet'!$CG$7, 1, ""))</f>
        <v>0</v>
      </c>
      <c r="U569" s="63" t="str">
        <f>IF(StatusBranchGrade[[#This Row],[T1]] = 1, COUNTIF($T$3:T569, 1), "")</f>
        <v/>
      </c>
      <c r="V569" s="63" t="str">
        <f>IFERROR(INDEX(StatusBranchGrade[Rank/Grade], MATCH(ROWS($U$3:U569)-1, StatusBranchGrade[T2], 0)), "") &amp; ""</f>
        <v/>
      </c>
      <c r="W569" s="63"/>
    </row>
  </sheetData>
  <sheetProtection password="C979" sheet="1" objects="1" scenarios="1"/>
  <conditionalFormatting sqref="A3:V569">
    <cfRule type="expression" dxfId="21" priority="110">
      <formula>LEFT(_xlfn.FORMULATEXT(A3), 1) = "="</formula>
    </cfRule>
  </conditionalFormatting>
  <conditionalFormatting sqref="W5">
    <cfRule type="expression" dxfId="20" priority="36">
      <formula>LEFT(_xlfn.FORMULATEXT(W5), 1) = "="</formula>
    </cfRule>
  </conditionalFormatting>
  <conditionalFormatting sqref="A565:B565">
    <cfRule type="expression" dxfId="19" priority="5">
      <formula>LEFT(_xlfn.FORMULATEXT(A565), 1) = "="</formula>
    </cfRule>
  </conditionalFormatting>
  <conditionalFormatting sqref="A566:B566">
    <cfRule type="expression" dxfId="18" priority="4">
      <formula>LEFT(_xlfn.FORMULATEXT(A566), 1) = "="</formula>
    </cfRule>
  </conditionalFormatting>
  <conditionalFormatting sqref="A567:B567">
    <cfRule type="expression" dxfId="17" priority="3">
      <formula>LEFT(_xlfn.FORMULATEXT(A567), 1) = "="</formula>
    </cfRule>
  </conditionalFormatting>
  <conditionalFormatting sqref="A568:B568">
    <cfRule type="expression" dxfId="16" priority="2">
      <formula>LEFT(_xlfn.FORMULATEXT(A568), 1) = "="</formula>
    </cfRule>
  </conditionalFormatting>
  <conditionalFormatting sqref="A569:B569">
    <cfRule type="expression" dxfId="15" priority="1">
      <formula>LEFT(_xlfn.FORMULATEXT(A569), 1) = "="</formula>
    </cfRule>
  </conditionalFormatting>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8C060DC519C5438F279013B0EC9B02" ma:contentTypeVersion="12" ma:contentTypeDescription="Create a new document." ma:contentTypeScope="" ma:versionID="8c70e9fae76bb6cde95ede56256492c0">
  <xsd:schema xmlns:xsd="http://www.w3.org/2001/XMLSchema" xmlns:xs="http://www.w3.org/2001/XMLSchema" xmlns:p="http://schemas.microsoft.com/office/2006/metadata/properties" xmlns:ns3="bc96db8f-62c4-44cc-8b28-7ef117495d18" xmlns:ns4="04adc925-6b5d-4628-b7e0-5b86efa98958" targetNamespace="http://schemas.microsoft.com/office/2006/metadata/properties" ma:root="true" ma:fieldsID="ac00ef442588c25e2dd632834b42df31" ns3:_="" ns4:_="">
    <xsd:import namespace="bc96db8f-62c4-44cc-8b28-7ef117495d18"/>
    <xsd:import namespace="04adc925-6b5d-4628-b7e0-5b86efa9895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6db8f-62c4-44cc-8b28-7ef117495d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dc925-6b5d-4628-b7e0-5b86efa989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8CAAF-3E55-42CE-AA4C-B798123CDF18}">
  <ds:schemaRefs>
    <ds:schemaRef ds:uri="http://schemas.microsoft.com/sharepoint/v3/contenttype/forms"/>
  </ds:schemaRefs>
</ds:datastoreItem>
</file>

<file path=customXml/itemProps2.xml><?xml version="1.0" encoding="utf-8"?>
<ds:datastoreItem xmlns:ds="http://schemas.openxmlformats.org/officeDocument/2006/customXml" ds:itemID="{D551776B-CD14-45D5-90BC-4A7E060DA80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c96db8f-62c4-44cc-8b28-7ef117495d18"/>
    <ds:schemaRef ds:uri="04adc925-6b5d-4628-b7e0-5b86efa98958"/>
    <ds:schemaRef ds:uri="http://www.w3.org/XML/1998/namespace"/>
    <ds:schemaRef ds:uri="http://purl.org/dc/dcmitype/"/>
  </ds:schemaRefs>
</ds:datastoreItem>
</file>

<file path=customXml/itemProps3.xml><?xml version="1.0" encoding="utf-8"?>
<ds:datastoreItem xmlns:ds="http://schemas.openxmlformats.org/officeDocument/2006/customXml" ds:itemID="{E274973E-03BE-489E-AAC1-5168FEEE7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6db8f-62c4-44cc-8b28-7ef117495d18"/>
    <ds:schemaRef ds:uri="04adc925-6b5d-4628-b7e0-5b86efa989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Instructions</vt:lpstr>
      <vt:lpstr>Calculation Worksheet</vt:lpstr>
      <vt:lpstr>2024 Non-Locality BAH Rates</vt:lpstr>
      <vt:lpstr>Self-employment</vt:lpstr>
      <vt:lpstr>Settings</vt:lpstr>
      <vt:lpstr>Lists</vt:lpstr>
      <vt:lpstr>Status</vt:lpstr>
      <vt:lpstr>Status, Branch</vt:lpstr>
      <vt:lpstr>Status, Branch, Grade</vt:lpstr>
      <vt:lpstr>Spouse validation</vt:lpstr>
      <vt:lpstr>Sponsor-Spouse</vt:lpstr>
      <vt:lpstr>MCC20July</vt:lpstr>
      <vt:lpstr>BAH_Rank</vt:lpstr>
      <vt:lpstr>Care_Type</vt:lpstr>
      <vt:lpstr>CareType</vt:lpstr>
      <vt:lpstr>CATSA</vt:lpstr>
      <vt:lpstr>CONSA</vt:lpstr>
      <vt:lpstr>Date_Override</vt:lpstr>
      <vt:lpstr>Fee_Override</vt:lpstr>
      <vt:lpstr>Job_Details</vt:lpstr>
      <vt:lpstr>MCClist</vt:lpstr>
      <vt:lpstr>Patron_Type</vt:lpstr>
      <vt:lpstr>'Calculation Worksheet'!Print_Area</vt:lpstr>
      <vt:lpstr>Sponsor_Rank</vt:lpstr>
      <vt:lpstr>Spouse_Rank</vt:lpstr>
      <vt:lpstr>TFI</vt:lpstr>
      <vt:lpstr>Vacation</vt:lpstr>
      <vt:lpstr>Verification</vt:lpstr>
      <vt:lpstr>Verification_NoIncome</vt:lpstr>
      <vt:lpstr>Years_Of_Service</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Theresa Sanders</dc:creator>
  <cp:lastModifiedBy>McNay, W S (Scott) NAF USARMY ID-READINESS (USA)</cp:lastModifiedBy>
  <cp:lastPrinted>2023-09-18T20:55:13Z</cp:lastPrinted>
  <dcterms:created xsi:type="dcterms:W3CDTF">2016-09-19T19:49:32Z</dcterms:created>
  <dcterms:modified xsi:type="dcterms:W3CDTF">2023-12-20T20:12:32Z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0x010100398C060DC519C5438F279013B0EC9B02</vt:lpwstr>
  </property>
</Properties>
</file>